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  <sheet name="грудень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<sst xmlns="http://schemas.openxmlformats.org/spreadsheetml/2006/main" count="1215" uniqueCount="228">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</sst>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6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5" sqref="F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218</v>
      </c>
      <c r="O3" s="331" t="s">
        <v>220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219</v>
      </c>
      <c r="F4" s="314" t="s">
        <v>33</v>
      </c>
      <c r="G4" s="305" t="s">
        <v>221</v>
      </c>
      <c r="H4" s="316" t="s">
        <v>222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227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225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646860.75</v>
      </c>
      <c r="G8" s="151">
        <f aca="true" t="shared" si="0" ref="G8:G40">F8-E8</f>
        <v>-80479.44999999995</v>
      </c>
      <c r="H8" s="152">
        <f>F8/E8*100</f>
        <v>88.9351021708961</v>
      </c>
      <c r="I8" s="153">
        <f>F8-D8</f>
        <v>-651590.3500000001</v>
      </c>
      <c r="J8" s="153">
        <f>F8/D8*100</f>
        <v>49.817875313132696</v>
      </c>
      <c r="K8" s="151">
        <v>543806.97</v>
      </c>
      <c r="L8" s="151">
        <f aca="true" t="shared" si="1" ref="L8:L54">F8-K8</f>
        <v>103053.78000000003</v>
      </c>
      <c r="M8" s="205">
        <f aca="true" t="shared" si="2" ref="M8:M31">F8/K8</f>
        <v>1.189504338276503</v>
      </c>
      <c r="N8" s="151">
        <f>N9+N15+N18+N19+N23+N17</f>
        <v>118464.60000000003</v>
      </c>
      <c r="O8" s="151">
        <f>O9+O15+O18+O19+O23+O17</f>
        <v>37390.62999999996</v>
      </c>
      <c r="P8" s="151">
        <f>O8-N8</f>
        <v>-81073.97000000007</v>
      </c>
      <c r="Q8" s="151">
        <f>O8/N8*100</f>
        <v>31.562703119750502</v>
      </c>
      <c r="R8" s="15">
        <f>R9+R15+R18+R19+R23</f>
        <v>102514</v>
      </c>
      <c r="S8" s="15">
        <f>O8-R8</f>
        <v>-65123.37000000004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377117.85</v>
      </c>
      <c r="G9" s="150">
        <f t="shared" si="0"/>
        <v>-39422.15000000002</v>
      </c>
      <c r="H9" s="157">
        <f>F9/E9*100</f>
        <v>90.53580688529313</v>
      </c>
      <c r="I9" s="158">
        <f>F9-D9</f>
        <v>-389527.15</v>
      </c>
      <c r="J9" s="158">
        <f>F9/D9*100</f>
        <v>49.19067495385739</v>
      </c>
      <c r="K9" s="227">
        <v>295409.71</v>
      </c>
      <c r="L9" s="159">
        <f t="shared" si="1"/>
        <v>81708.13999999996</v>
      </c>
      <c r="M9" s="206">
        <f t="shared" si="2"/>
        <v>1.2765926008322475</v>
      </c>
      <c r="N9" s="157">
        <f>E9-червень!E9</f>
        <v>67300</v>
      </c>
      <c r="O9" s="160">
        <f>F9-червень!F9</f>
        <v>25575.469999999972</v>
      </c>
      <c r="P9" s="161">
        <f>O9-N9</f>
        <v>-41724.53000000003</v>
      </c>
      <c r="Q9" s="158">
        <f>O9/N9*100</f>
        <v>38.00218424962849</v>
      </c>
      <c r="R9" s="100">
        <v>71000</v>
      </c>
      <c r="S9" s="100">
        <f>O9-R9</f>
        <v>-45424.53000000003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346555.26</v>
      </c>
      <c r="G10" s="103">
        <f t="shared" si="0"/>
        <v>-32052.73999999999</v>
      </c>
      <c r="H10" s="30">
        <f aca="true" t="shared" si="3" ref="H10:H39">F10/E10*100</f>
        <v>91.53405633267127</v>
      </c>
      <c r="I10" s="104">
        <f aca="true" t="shared" si="4" ref="I10:I40">F10-D10</f>
        <v>-354761.74</v>
      </c>
      <c r="J10" s="104">
        <f aca="true" t="shared" si="5" ref="J10:J39">F10/D10*100</f>
        <v>49.414923636529565</v>
      </c>
      <c r="K10" s="106">
        <v>259105.9</v>
      </c>
      <c r="L10" s="106">
        <f t="shared" si="1"/>
        <v>87449.36000000002</v>
      </c>
      <c r="M10" s="207">
        <f t="shared" si="2"/>
        <v>1.3375043177326338</v>
      </c>
      <c r="N10" s="105">
        <f>E10-червень!E10</f>
        <v>60544</v>
      </c>
      <c r="O10" s="144">
        <f>F10-червень!F10</f>
        <v>24010.5</v>
      </c>
      <c r="P10" s="106">
        <f aca="true" t="shared" si="6" ref="P10:P40">O10-N10</f>
        <v>-36533.5</v>
      </c>
      <c r="Q10" s="104">
        <f aca="true" t="shared" si="7" ref="Q10:Q27">O10/N10*100</f>
        <v>39.65793472515856</v>
      </c>
      <c r="R10" s="37"/>
      <c r="S10" s="100">
        <f aca="true" t="shared" si="8" ref="S10:S35">O10-R10</f>
        <v>24010.5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19629.86</v>
      </c>
      <c r="G11" s="103">
        <f t="shared" si="0"/>
        <v>-6650.139999999999</v>
      </c>
      <c r="H11" s="30">
        <f t="shared" si="3"/>
        <v>74.69505327245054</v>
      </c>
      <c r="I11" s="104">
        <f t="shared" si="4"/>
        <v>-26876.14</v>
      </c>
      <c r="J11" s="104">
        <f t="shared" si="5"/>
        <v>42.20930632606545</v>
      </c>
      <c r="K11" s="106">
        <v>21586.03</v>
      </c>
      <c r="L11" s="106">
        <f t="shared" si="1"/>
        <v>-1956.1699999999983</v>
      </c>
      <c r="M11" s="207">
        <f t="shared" si="2"/>
        <v>0.9093779634328314</v>
      </c>
      <c r="N11" s="105">
        <f>E11-червень!E11</f>
        <v>4080</v>
      </c>
      <c r="O11" s="144">
        <f>F11-червень!F11</f>
        <v>543.9700000000012</v>
      </c>
      <c r="P11" s="106">
        <f t="shared" si="6"/>
        <v>-3536.029999999999</v>
      </c>
      <c r="Q11" s="104">
        <f t="shared" si="7"/>
        <v>13.332598039215714</v>
      </c>
      <c r="R11" s="37"/>
      <c r="S11" s="100">
        <f t="shared" si="8"/>
        <v>543.9700000000012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4883.98</v>
      </c>
      <c r="G12" s="103">
        <f t="shared" si="0"/>
        <v>443.97999999999956</v>
      </c>
      <c r="H12" s="30">
        <f t="shared" si="3"/>
        <v>109.99954954954954</v>
      </c>
      <c r="I12" s="104">
        <f t="shared" si="4"/>
        <v>-3396.0200000000004</v>
      </c>
      <c r="J12" s="104">
        <f t="shared" si="5"/>
        <v>58.98526570048309</v>
      </c>
      <c r="K12" s="106">
        <v>5837.44</v>
      </c>
      <c r="L12" s="106">
        <f t="shared" si="1"/>
        <v>-953.46</v>
      </c>
      <c r="M12" s="207">
        <f t="shared" si="2"/>
        <v>0.8366647023352702</v>
      </c>
      <c r="N12" s="105">
        <f>E12-червень!E12</f>
        <v>600</v>
      </c>
      <c r="O12" s="144">
        <f>F12-червень!F12</f>
        <v>370.9499999999998</v>
      </c>
      <c r="P12" s="106">
        <f t="shared" si="6"/>
        <v>-229.05000000000018</v>
      </c>
      <c r="Q12" s="104">
        <f t="shared" si="7"/>
        <v>61.824999999999974</v>
      </c>
      <c r="R12" s="37"/>
      <c r="S12" s="100">
        <f t="shared" si="8"/>
        <v>370.9499999999998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5305.38</v>
      </c>
      <c r="G13" s="103">
        <f t="shared" si="0"/>
        <v>-1234.62</v>
      </c>
      <c r="H13" s="30">
        <f t="shared" si="3"/>
        <v>81.12201834862385</v>
      </c>
      <c r="I13" s="104">
        <f t="shared" si="4"/>
        <v>-4084.62</v>
      </c>
      <c r="J13" s="104">
        <f t="shared" si="5"/>
        <v>56.500319488817894</v>
      </c>
      <c r="K13" s="106">
        <v>6429.46</v>
      </c>
      <c r="L13" s="106">
        <f t="shared" si="1"/>
        <v>-1124.08</v>
      </c>
      <c r="M13" s="207">
        <f t="shared" si="2"/>
        <v>0.8251672768786181</v>
      </c>
      <c r="N13" s="105">
        <f>E13-червень!E13</f>
        <v>1980</v>
      </c>
      <c r="O13" s="144">
        <f>F13-червень!F13</f>
        <v>614.21</v>
      </c>
      <c r="P13" s="106">
        <f t="shared" si="6"/>
        <v>-1365.79</v>
      </c>
      <c r="Q13" s="104">
        <f t="shared" si="7"/>
        <v>31.020707070707072</v>
      </c>
      <c r="R13" s="37"/>
      <c r="S13" s="100">
        <f t="shared" si="8"/>
        <v>614.21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743.38</v>
      </c>
      <c r="G14" s="103">
        <f t="shared" si="0"/>
        <v>71.38</v>
      </c>
      <c r="H14" s="30">
        <f t="shared" si="3"/>
        <v>110.62202380952382</v>
      </c>
      <c r="I14" s="104">
        <f t="shared" si="4"/>
        <v>-408.62</v>
      </c>
      <c r="J14" s="104">
        <f t="shared" si="5"/>
        <v>64.52951388888889</v>
      </c>
      <c r="K14" s="106">
        <v>2450.88</v>
      </c>
      <c r="L14" s="106">
        <f t="shared" si="1"/>
        <v>-1707.5</v>
      </c>
      <c r="M14" s="207">
        <f t="shared" si="2"/>
        <v>0.30331146363755057</v>
      </c>
      <c r="N14" s="105">
        <f>E14-червень!E14</f>
        <v>96</v>
      </c>
      <c r="O14" s="144">
        <f>F14-червень!F14</f>
        <v>35.85000000000002</v>
      </c>
      <c r="P14" s="106">
        <f t="shared" si="6"/>
        <v>-60.14999999999998</v>
      </c>
      <c r="Q14" s="104">
        <f t="shared" si="7"/>
        <v>37.34375000000003</v>
      </c>
      <c r="R14" s="37"/>
      <c r="S14" s="100">
        <f t="shared" si="8"/>
        <v>35.85000000000002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E15-червень!E15</f>
        <v>0</v>
      </c>
      <c r="O15" s="168">
        <f>F15-червень!F15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E16-червень!E16</f>
        <v>0</v>
      </c>
      <c r="O16" s="168">
        <f>F16-червень!F16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E18-червень!E18</f>
        <v>0</v>
      </c>
      <c r="O18" s="168">
        <f>F18-червень!F18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54529.59</v>
      </c>
      <c r="G19" s="162">
        <f t="shared" si="0"/>
        <v>-16570.410000000003</v>
      </c>
      <c r="H19" s="164">
        <f t="shared" si="3"/>
        <v>76.6942194092827</v>
      </c>
      <c r="I19" s="165">
        <f t="shared" si="4"/>
        <v>-75470.41</v>
      </c>
      <c r="J19" s="165">
        <f t="shared" si="5"/>
        <v>41.94583846153846</v>
      </c>
      <c r="K19" s="161">
        <v>54291.2</v>
      </c>
      <c r="L19" s="167">
        <f t="shared" si="1"/>
        <v>238.38999999999942</v>
      </c>
      <c r="M19" s="213">
        <f t="shared" si="2"/>
        <v>1.0043909510196865</v>
      </c>
      <c r="N19" s="164">
        <f>E19-червень!E19</f>
        <v>11500</v>
      </c>
      <c r="O19" s="168">
        <f>F19-червень!F19</f>
        <v>569.4799999999959</v>
      </c>
      <c r="P19" s="167">
        <f t="shared" si="6"/>
        <v>-10930.520000000004</v>
      </c>
      <c r="Q19" s="165">
        <f t="shared" si="7"/>
        <v>4.951999999999964</v>
      </c>
      <c r="R19" s="294">
        <v>8800</v>
      </c>
      <c r="S19" s="100">
        <f t="shared" si="8"/>
        <v>-8230.520000000004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31477.21</v>
      </c>
      <c r="G20" s="253">
        <f t="shared" si="0"/>
        <v>-10972.79</v>
      </c>
      <c r="H20" s="195">
        <f t="shared" si="3"/>
        <v>74.15126030624263</v>
      </c>
      <c r="I20" s="254">
        <f t="shared" si="4"/>
        <v>-45022.79</v>
      </c>
      <c r="J20" s="254">
        <f t="shared" si="5"/>
        <v>41.14667973856209</v>
      </c>
      <c r="K20" s="255">
        <v>54291.2</v>
      </c>
      <c r="L20" s="166">
        <f t="shared" si="1"/>
        <v>-22813.989999999998</v>
      </c>
      <c r="M20" s="256">
        <f t="shared" si="2"/>
        <v>0.5797847533301899</v>
      </c>
      <c r="N20" s="195">
        <f>E20-червень!E20</f>
        <v>6550</v>
      </c>
      <c r="O20" s="179">
        <f>F20-червень!F20</f>
        <v>241.95000000000073</v>
      </c>
      <c r="P20" s="166">
        <f t="shared" si="6"/>
        <v>-6308.049999999999</v>
      </c>
      <c r="Q20" s="254">
        <f t="shared" si="7"/>
        <v>3.693893129771003</v>
      </c>
      <c r="R20" s="104">
        <v>4450</v>
      </c>
      <c r="S20" s="104">
        <f t="shared" si="8"/>
        <v>-4208.049999999999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/>
      <c r="I21" s="254">
        <f t="shared" si="4"/>
        <v>-5757.68</v>
      </c>
      <c r="J21" s="254">
        <f t="shared" si="5"/>
        <v>46.18990654205607</v>
      </c>
      <c r="K21" s="255">
        <v>0</v>
      </c>
      <c r="L21" s="166">
        <f t="shared" si="1"/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6"/>
        <v>-756.0100000000002</v>
      </c>
      <c r="Q21" s="254"/>
      <c r="R21" s="104">
        <v>900</v>
      </c>
      <c r="S21" s="104">
        <f t="shared" si="8"/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/>
      <c r="I22" s="254">
        <f t="shared" si="4"/>
        <v>-24689.95</v>
      </c>
      <c r="J22" s="254">
        <f t="shared" si="5"/>
        <v>42.313200934579434</v>
      </c>
      <c r="K22" s="255">
        <v>0</v>
      </c>
      <c r="L22" s="166">
        <f t="shared" si="1"/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6"/>
        <v>-3866.470000000001</v>
      </c>
      <c r="Q22" s="254"/>
      <c r="R22" s="104">
        <v>3800</v>
      </c>
      <c r="S22" s="104">
        <f t="shared" si="8"/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215049.8</v>
      </c>
      <c r="G23" s="150">
        <f t="shared" si="0"/>
        <v>-24239.400000000023</v>
      </c>
      <c r="H23" s="157">
        <f t="shared" si="3"/>
        <v>89.87024905428243</v>
      </c>
      <c r="I23" s="158">
        <f t="shared" si="4"/>
        <v>-186080.3</v>
      </c>
      <c r="J23" s="158">
        <f t="shared" si="5"/>
        <v>53.61098556303803</v>
      </c>
      <c r="K23" s="158">
        <v>193690.84</v>
      </c>
      <c r="L23" s="161">
        <f t="shared" si="1"/>
        <v>21358.959999999992</v>
      </c>
      <c r="M23" s="209">
        <f t="shared" si="2"/>
        <v>1.1102734646615193</v>
      </c>
      <c r="N23" s="157">
        <f>E23-червень!E23</f>
        <v>39664.600000000035</v>
      </c>
      <c r="O23" s="160">
        <f>F23-червень!F23</f>
        <v>11245.679999999993</v>
      </c>
      <c r="P23" s="161">
        <f t="shared" si="6"/>
        <v>-28418.920000000042</v>
      </c>
      <c r="Q23" s="158">
        <f t="shared" si="7"/>
        <v>28.35193094093974</v>
      </c>
      <c r="R23" s="288">
        <f>R24+R33+R35</f>
        <v>22714</v>
      </c>
      <c r="S23" s="294">
        <f t="shared" si="8"/>
        <v>-11468.320000000007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102776.3</v>
      </c>
      <c r="G24" s="150">
        <f t="shared" si="0"/>
        <v>-17294.59999999999</v>
      </c>
      <c r="H24" s="157">
        <f t="shared" si="3"/>
        <v>85.59634349371913</v>
      </c>
      <c r="I24" s="158">
        <f t="shared" si="4"/>
        <v>-103844.7</v>
      </c>
      <c r="J24" s="158">
        <f t="shared" si="5"/>
        <v>49.74145899981125</v>
      </c>
      <c r="K24" s="158">
        <v>105956.73</v>
      </c>
      <c r="L24" s="161">
        <f t="shared" si="1"/>
        <v>-3180.429999999993</v>
      </c>
      <c r="M24" s="209">
        <f t="shared" si="2"/>
        <v>0.9699836905121554</v>
      </c>
      <c r="N24" s="157">
        <f>E24-червень!E24</f>
        <v>21398</v>
      </c>
      <c r="O24" s="160">
        <f>F24-червень!F24</f>
        <v>3382.6300000000047</v>
      </c>
      <c r="P24" s="161">
        <f t="shared" si="6"/>
        <v>-18015.369999999995</v>
      </c>
      <c r="Q24" s="158">
        <f t="shared" si="7"/>
        <v>15.808159641087974</v>
      </c>
      <c r="R24" s="293">
        <f>R25+R28+R29</f>
        <v>15007</v>
      </c>
      <c r="S24" s="293">
        <f t="shared" si="8"/>
        <v>-11624.369999999995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11853.53</v>
      </c>
      <c r="G25" s="171">
        <f t="shared" si="0"/>
        <v>-3345.5699999999997</v>
      </c>
      <c r="H25" s="173">
        <f t="shared" si="3"/>
        <v>77.98836773229995</v>
      </c>
      <c r="I25" s="174">
        <f t="shared" si="4"/>
        <v>-10955.47</v>
      </c>
      <c r="J25" s="174">
        <f t="shared" si="5"/>
        <v>51.968652724801615</v>
      </c>
      <c r="K25" s="175">
        <v>13870.14</v>
      </c>
      <c r="L25" s="166">
        <f t="shared" si="1"/>
        <v>-2016.6099999999988</v>
      </c>
      <c r="M25" s="215">
        <f t="shared" si="2"/>
        <v>0.8546078121778151</v>
      </c>
      <c r="N25" s="195">
        <f>E25-червень!E25</f>
        <v>4810</v>
      </c>
      <c r="O25" s="179">
        <f>F25-червень!F25</f>
        <v>768</v>
      </c>
      <c r="P25" s="177">
        <f t="shared" si="6"/>
        <v>-4042</v>
      </c>
      <c r="Q25" s="174">
        <f t="shared" si="7"/>
        <v>15.966735966735968</v>
      </c>
      <c r="R25" s="104">
        <v>800</v>
      </c>
      <c r="S25" s="104">
        <f t="shared" si="8"/>
        <v>-32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246.65</v>
      </c>
      <c r="G26" s="198">
        <f t="shared" si="0"/>
        <v>-913.35</v>
      </c>
      <c r="H26" s="199">
        <f t="shared" si="3"/>
        <v>21.26293103448276</v>
      </c>
      <c r="I26" s="200">
        <f t="shared" si="4"/>
        <v>-1575.6499999999999</v>
      </c>
      <c r="J26" s="200">
        <f t="shared" si="5"/>
        <v>13.53509301432256</v>
      </c>
      <c r="K26" s="200">
        <v>537.83</v>
      </c>
      <c r="L26" s="200">
        <f t="shared" si="1"/>
        <v>-291.18000000000006</v>
      </c>
      <c r="M26" s="228">
        <f t="shared" si="2"/>
        <v>0.4586021605339977</v>
      </c>
      <c r="N26" s="237">
        <f>E26-червень!E26</f>
        <v>450</v>
      </c>
      <c r="O26" s="237">
        <f>F26-червень!F26</f>
        <v>33.390000000000015</v>
      </c>
      <c r="P26" s="200">
        <f t="shared" si="6"/>
        <v>-416.61</v>
      </c>
      <c r="Q26" s="200">
        <f t="shared" si="7"/>
        <v>7.420000000000003</v>
      </c>
      <c r="R26" s="104"/>
      <c r="S26" s="104">
        <f t="shared" si="8"/>
        <v>33.390000000000015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11606.88</v>
      </c>
      <c r="G27" s="198">
        <f t="shared" si="0"/>
        <v>-2432.220000000001</v>
      </c>
      <c r="H27" s="199">
        <f t="shared" si="3"/>
        <v>82.67538517426331</v>
      </c>
      <c r="I27" s="200">
        <f t="shared" si="4"/>
        <v>-9379.820000000002</v>
      </c>
      <c r="J27" s="200">
        <f t="shared" si="5"/>
        <v>55.305884202852276</v>
      </c>
      <c r="K27" s="200">
        <v>13332.31</v>
      </c>
      <c r="L27" s="200">
        <f t="shared" si="1"/>
        <v>-1725.4300000000003</v>
      </c>
      <c r="M27" s="228">
        <f t="shared" si="2"/>
        <v>0.8705828172312224</v>
      </c>
      <c r="N27" s="237">
        <f>E27-червень!E27</f>
        <v>4360</v>
      </c>
      <c r="O27" s="237">
        <f>F27-червень!F27</f>
        <v>734.619999999999</v>
      </c>
      <c r="P27" s="200">
        <f t="shared" si="6"/>
        <v>-3625.380000000001</v>
      </c>
      <c r="Q27" s="200">
        <f t="shared" si="7"/>
        <v>16.849082568807315</v>
      </c>
      <c r="R27" s="104"/>
      <c r="S27" s="104">
        <f t="shared" si="8"/>
        <v>734.619999999999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-78.81</v>
      </c>
      <c r="G28" s="171">
        <f t="shared" si="0"/>
        <v>-335.61</v>
      </c>
      <c r="H28" s="173">
        <f t="shared" si="3"/>
        <v>-30.689252336448597</v>
      </c>
      <c r="I28" s="174">
        <f t="shared" si="4"/>
        <v>-898.81</v>
      </c>
      <c r="J28" s="174">
        <f t="shared" si="5"/>
        <v>-9.610975609756098</v>
      </c>
      <c r="K28" s="174">
        <v>478.8</v>
      </c>
      <c r="L28" s="174">
        <f t="shared" si="1"/>
        <v>-557.61</v>
      </c>
      <c r="M28" s="212">
        <f t="shared" si="2"/>
        <v>-0.16459899749373433</v>
      </c>
      <c r="N28" s="195">
        <f>E28-червень!E28</f>
        <v>123</v>
      </c>
      <c r="O28" s="179">
        <f>F28-червень!F28</f>
        <v>10.420000000000002</v>
      </c>
      <c r="P28" s="177">
        <f t="shared" si="6"/>
        <v>-112.58</v>
      </c>
      <c r="Q28" s="174">
        <f>O28/N28*100</f>
        <v>8.471544715447155</v>
      </c>
      <c r="R28" s="104">
        <v>-25</v>
      </c>
      <c r="S28" s="104">
        <f t="shared" si="8"/>
        <v>35.42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91001.58</v>
      </c>
      <c r="G29" s="171">
        <f t="shared" si="0"/>
        <v>-13613.419999999998</v>
      </c>
      <c r="H29" s="173">
        <f t="shared" si="3"/>
        <v>86.98712421736845</v>
      </c>
      <c r="I29" s="174">
        <f t="shared" si="4"/>
        <v>-91990.42</v>
      </c>
      <c r="J29" s="174">
        <f t="shared" si="5"/>
        <v>49.729813325172685</v>
      </c>
      <c r="K29" s="175">
        <v>91607.79</v>
      </c>
      <c r="L29" s="175">
        <f t="shared" si="1"/>
        <v>-606.2099999999919</v>
      </c>
      <c r="M29" s="211">
        <f t="shared" si="2"/>
        <v>0.9933825496718129</v>
      </c>
      <c r="N29" s="195">
        <f>E29-червень!E29</f>
        <v>16465</v>
      </c>
      <c r="O29" s="179">
        <f>F29-червень!F29</f>
        <v>2604.2100000000064</v>
      </c>
      <c r="P29" s="177">
        <f t="shared" si="6"/>
        <v>-13860.789999999994</v>
      </c>
      <c r="Q29" s="174">
        <f>O29/N29*100</f>
        <v>15.816641360461626</v>
      </c>
      <c r="R29" s="104">
        <v>14232</v>
      </c>
      <c r="S29" s="104">
        <f t="shared" si="8"/>
        <v>-11627.789999999994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31497.88</v>
      </c>
      <c r="G30" s="198">
        <f t="shared" si="0"/>
        <v>-1217.119999999999</v>
      </c>
      <c r="H30" s="199">
        <f t="shared" si="3"/>
        <v>96.27962708237811</v>
      </c>
      <c r="I30" s="200">
        <f t="shared" si="4"/>
        <v>-26035.12</v>
      </c>
      <c r="J30" s="200">
        <f t="shared" si="5"/>
        <v>54.74750143395964</v>
      </c>
      <c r="K30" s="200">
        <v>29285.76</v>
      </c>
      <c r="L30" s="200">
        <f t="shared" si="1"/>
        <v>2212.1200000000026</v>
      </c>
      <c r="M30" s="228">
        <f t="shared" si="2"/>
        <v>1.0755356869686838</v>
      </c>
      <c r="N30" s="237">
        <f>E30-червень!E30</f>
        <v>5935</v>
      </c>
      <c r="O30" s="237">
        <f>F30-червень!F30</f>
        <v>839.9300000000003</v>
      </c>
      <c r="P30" s="200">
        <f t="shared" si="6"/>
        <v>-5095.07</v>
      </c>
      <c r="Q30" s="200">
        <f>O30/N30*100</f>
        <v>14.15214827295704</v>
      </c>
      <c r="R30" s="107"/>
      <c r="S30" s="100">
        <f t="shared" si="8"/>
        <v>839.9300000000003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59503.69</v>
      </c>
      <c r="G31" s="198">
        <f t="shared" si="0"/>
        <v>-12396.309999999998</v>
      </c>
      <c r="H31" s="199">
        <f t="shared" si="3"/>
        <v>82.7589568845619</v>
      </c>
      <c r="I31" s="200">
        <f t="shared" si="4"/>
        <v>-65955.31</v>
      </c>
      <c r="J31" s="200">
        <f t="shared" si="5"/>
        <v>47.42879347037678</v>
      </c>
      <c r="K31" s="200">
        <v>62322.03</v>
      </c>
      <c r="L31" s="200">
        <f t="shared" si="1"/>
        <v>-2818.3399999999965</v>
      </c>
      <c r="M31" s="228">
        <f t="shared" si="2"/>
        <v>0.9547777888493042</v>
      </c>
      <c r="N31" s="237">
        <f>E31-червень!E31</f>
        <v>10530</v>
      </c>
      <c r="O31" s="237">
        <f>F31-червень!F31</f>
        <v>1764.270000000004</v>
      </c>
      <c r="P31" s="200">
        <f t="shared" si="6"/>
        <v>-8765.729999999996</v>
      </c>
      <c r="Q31" s="200">
        <f>O31/N31*100</f>
        <v>16.754700854700893</v>
      </c>
      <c r="R31" s="107"/>
      <c r="S31" s="100">
        <f t="shared" si="8"/>
        <v>1764.270000000004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0.15</v>
      </c>
      <c r="L32" s="158">
        <f t="shared" si="1"/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80.37</v>
      </c>
      <c r="G33" s="150">
        <f t="shared" si="0"/>
        <v>24.770000000000003</v>
      </c>
      <c r="H33" s="157">
        <f t="shared" si="3"/>
        <v>144.55035971223023</v>
      </c>
      <c r="I33" s="158">
        <f t="shared" si="4"/>
        <v>-34.629999999999995</v>
      </c>
      <c r="J33" s="158">
        <f t="shared" si="5"/>
        <v>69.88695652173914</v>
      </c>
      <c r="K33" s="158">
        <v>65.62</v>
      </c>
      <c r="L33" s="158">
        <f t="shared" si="1"/>
        <v>14.75</v>
      </c>
      <c r="M33" s="210">
        <f>F33/K33</f>
        <v>1.2247790307832978</v>
      </c>
      <c r="N33" s="157">
        <f>E33-червень!E33</f>
        <v>9.600000000000001</v>
      </c>
      <c r="O33" s="160">
        <f>F33-червень!F33</f>
        <v>1.1400000000000006</v>
      </c>
      <c r="P33" s="161">
        <f t="shared" si="6"/>
        <v>-8.46</v>
      </c>
      <c r="Q33" s="158">
        <f>O33/N33*100</f>
        <v>11.875000000000004</v>
      </c>
      <c r="R33" s="293">
        <v>7</v>
      </c>
      <c r="S33" s="293">
        <f t="shared" si="8"/>
        <v>-5.859999999999999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-33.52</v>
      </c>
      <c r="G34" s="150">
        <f t="shared" si="0"/>
        <v>-33.52</v>
      </c>
      <c r="H34" s="157"/>
      <c r="I34" s="158">
        <f t="shared" si="4"/>
        <v>-33.52</v>
      </c>
      <c r="J34" s="158"/>
      <c r="K34" s="158">
        <v>-138.73</v>
      </c>
      <c r="L34" s="158">
        <f t="shared" si="1"/>
        <v>105.20999999999998</v>
      </c>
      <c r="M34" s="210">
        <f>F34/K34</f>
        <v>0.24162041375333385</v>
      </c>
      <c r="N34" s="157">
        <f>E34-червень!E34</f>
        <v>0</v>
      </c>
      <c r="O34" s="160">
        <f>F34-червень!F34</f>
        <v>-2.200000000000003</v>
      </c>
      <c r="P34" s="161">
        <f t="shared" si="6"/>
        <v>-2.200000000000003</v>
      </c>
      <c r="Q34" s="158"/>
      <c r="R34" s="293"/>
      <c r="S34" s="293">
        <f t="shared" si="8"/>
        <v>-2.200000000000003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112226.45</v>
      </c>
      <c r="G35" s="162">
        <f t="shared" si="0"/>
        <v>-6936.25</v>
      </c>
      <c r="H35" s="164">
        <f t="shared" si="3"/>
        <v>94.17917687330012</v>
      </c>
      <c r="I35" s="165">
        <f t="shared" si="4"/>
        <v>-82167.65000000001</v>
      </c>
      <c r="J35" s="165">
        <f t="shared" si="5"/>
        <v>57.73140748613255</v>
      </c>
      <c r="K35" s="178">
        <v>87807.07</v>
      </c>
      <c r="L35" s="178">
        <f>F35-K35</f>
        <v>24419.37999999999</v>
      </c>
      <c r="M35" s="226">
        <f>F35/K35</f>
        <v>1.2781026630315757</v>
      </c>
      <c r="N35" s="157">
        <f>E35-червень!E35</f>
        <v>18257</v>
      </c>
      <c r="O35" s="160">
        <f>F35-червень!F35</f>
        <v>7864.110000000001</v>
      </c>
      <c r="P35" s="167">
        <f t="shared" si="6"/>
        <v>-10392.89</v>
      </c>
      <c r="Q35" s="165">
        <f>O35/N35*100</f>
        <v>43.07449197568056</v>
      </c>
      <c r="R35" s="293">
        <v>7700</v>
      </c>
      <c r="S35" s="293">
        <f t="shared" si="8"/>
        <v>164.11000000000058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0.22</v>
      </c>
      <c r="L36" s="127">
        <f t="shared" si="1"/>
        <v>-0.21</v>
      </c>
      <c r="M36" s="216">
        <f aca="true" t="shared" si="9" ref="M36:M42">F36/K36</f>
        <v>0.045454545454545456</v>
      </c>
      <c r="N36" s="105">
        <f>E36-червень!E36</f>
        <v>0</v>
      </c>
      <c r="O36" s="144">
        <f>F36-червень!F36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21352.62</v>
      </c>
      <c r="G37" s="103">
        <f t="shared" si="0"/>
        <v>-1917.380000000001</v>
      </c>
      <c r="H37" s="105">
        <f t="shared" si="3"/>
        <v>91.76029222174473</v>
      </c>
      <c r="I37" s="104">
        <f t="shared" si="4"/>
        <v>-19647.38</v>
      </c>
      <c r="J37" s="104">
        <f t="shared" si="5"/>
        <v>52.07956097560975</v>
      </c>
      <c r="K37" s="127">
        <v>21754.51</v>
      </c>
      <c r="L37" s="127">
        <f t="shared" si="1"/>
        <v>-401.8899999999994</v>
      </c>
      <c r="M37" s="216">
        <f t="shared" si="9"/>
        <v>0.9815261295244067</v>
      </c>
      <c r="N37" s="105">
        <f>E37-червень!E37</f>
        <v>3250</v>
      </c>
      <c r="O37" s="144">
        <f>F37-червень!F37</f>
        <v>1064.5599999999977</v>
      </c>
      <c r="P37" s="106">
        <f t="shared" si="6"/>
        <v>-2185.4400000000023</v>
      </c>
      <c r="Q37" s="104">
        <f>O37/N37*100</f>
        <v>32.755692307692236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90850.32</v>
      </c>
      <c r="G38" s="103">
        <f t="shared" si="0"/>
        <v>-5009.679999999993</v>
      </c>
      <c r="H38" s="105">
        <f t="shared" si="3"/>
        <v>94.77396202795745</v>
      </c>
      <c r="I38" s="104">
        <f t="shared" si="4"/>
        <v>-62488.78</v>
      </c>
      <c r="J38" s="104">
        <f t="shared" si="5"/>
        <v>59.24798045638718</v>
      </c>
      <c r="K38" s="127">
        <v>66031.82</v>
      </c>
      <c r="L38" s="127">
        <f t="shared" si="1"/>
        <v>24818.5</v>
      </c>
      <c r="M38" s="216">
        <f t="shared" si="9"/>
        <v>1.3758566703144028</v>
      </c>
      <c r="N38" s="105">
        <f>E38-червень!E38</f>
        <v>15000</v>
      </c>
      <c r="O38" s="144">
        <f>F38-червень!F38</f>
        <v>6799.550000000003</v>
      </c>
      <c r="P38" s="106">
        <f t="shared" si="6"/>
        <v>-8200.449999999997</v>
      </c>
      <c r="Q38" s="104">
        <f>O38/N38*100</f>
        <v>45.33033333333335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23.5</v>
      </c>
      <c r="G39" s="103">
        <f t="shared" si="0"/>
        <v>-9.200000000000003</v>
      </c>
      <c r="H39" s="105">
        <f t="shared" si="3"/>
        <v>71.86544342507645</v>
      </c>
      <c r="I39" s="104">
        <f t="shared" si="4"/>
        <v>-31.5</v>
      </c>
      <c r="J39" s="104">
        <f t="shared" si="5"/>
        <v>42.72727272727273</v>
      </c>
      <c r="K39" s="127">
        <v>20.52</v>
      </c>
      <c r="L39" s="127">
        <f t="shared" si="1"/>
        <v>2.9800000000000004</v>
      </c>
      <c r="M39" s="216">
        <f t="shared" si="9"/>
        <v>1.1452241715399611</v>
      </c>
      <c r="N39" s="105">
        <f>E39-червень!E39</f>
        <v>7.0000000000000036</v>
      </c>
      <c r="O39" s="144">
        <f>F39-червень!F39</f>
        <v>0</v>
      </c>
      <c r="P39" s="106">
        <f t="shared" si="6"/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v>0</v>
      </c>
      <c r="O40" s="160">
        <v>0</v>
      </c>
      <c r="P40" s="36">
        <f t="shared" si="6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38674.87999999999</v>
      </c>
      <c r="G41" s="287">
        <f>G42+G43+G44+G45+G46+G48+G50+G51+G52+G53+G54+G59+G60+G64+G47+G49</f>
        <v>3481.1799999999985</v>
      </c>
      <c r="H41" s="152">
        <f>F41/E41*100</f>
        <v>109.891486260325</v>
      </c>
      <c r="I41" s="153">
        <f>F41-D41</f>
        <v>-20350.12000000001</v>
      </c>
      <c r="J41" s="153">
        <f>F41/D41*100</f>
        <v>65.52288013553577</v>
      </c>
      <c r="K41" s="151">
        <v>36786.28</v>
      </c>
      <c r="L41" s="151">
        <f t="shared" si="1"/>
        <v>1888.5999999999913</v>
      </c>
      <c r="M41" s="205">
        <f t="shared" si="9"/>
        <v>1.0513397929880377</v>
      </c>
      <c r="N41" s="151">
        <f>N42+N43+N44+N45+N46+N48+N50+N51+N52+N53+N54+N59+N60+N64+N47+N49</f>
        <v>5277.6</v>
      </c>
      <c r="O41" s="151">
        <f>O42+O43+O44+O45+O46+O48+O50+O51+O52+O53+O54+O59+O60+O64+O47+O49</f>
        <v>4616.42</v>
      </c>
      <c r="P41" s="151">
        <f>P42+P43+P44+P45+P46+P48+P50+P51+P52+P53+P54+P59+P60+P64</f>
        <v>-670.2699999999998</v>
      </c>
      <c r="Q41" s="151">
        <f>O41/N41*100</f>
        <v>87.47195695012884</v>
      </c>
      <c r="R41" s="15">
        <f>R42+R43+R44+R45+R46+R47+R48+R50+R51+R52+R53+R54+R59+R60+R64</f>
        <v>5598.5</v>
      </c>
      <c r="S41" s="15">
        <f>O41-R41</f>
        <v>-982.0799999999999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241.39</v>
      </c>
      <c r="L42" s="165">
        <f t="shared" si="1"/>
        <v>1963.38</v>
      </c>
      <c r="M42" s="218">
        <f t="shared" si="9"/>
        <v>9.133642652968225</v>
      </c>
      <c r="N42" s="164">
        <f>E42-червень!E42</f>
        <v>0</v>
      </c>
      <c r="O42" s="168">
        <f>F42-червень!F42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t="shared" si="10"/>
        <v>96.31896969696969</v>
      </c>
      <c r="I43" s="165">
        <f aca="true" t="shared" si="13" ref="I43:I66">F43-D43</f>
        <v>-14107.37</v>
      </c>
      <c r="J43" s="165">
        <f>F43/D43*100</f>
        <v>52.975433333333335</v>
      </c>
      <c r="K43" s="165">
        <v>17271.02</v>
      </c>
      <c r="L43" s="165">
        <f t="shared" si="1"/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 aca="true" t="shared" si="14" ref="P43:P66">O43-N43</f>
        <v>-261.0100000000002</v>
      </c>
      <c r="Q43" s="165">
        <f t="shared" si="11"/>
        <v>90.67821428571428</v>
      </c>
      <c r="R43" s="37">
        <v>2874.5</v>
      </c>
      <c r="S43" s="37">
        <f aca="true" t="shared" si="15" ref="S43:S66">O43-R43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108.3</v>
      </c>
      <c r="G44" s="162">
        <f t="shared" si="12"/>
        <v>85.3</v>
      </c>
      <c r="H44" s="164">
        <f>F44/E44*100</f>
        <v>470.86956521739125</v>
      </c>
      <c r="I44" s="165">
        <f t="shared" si="13"/>
        <v>68.3</v>
      </c>
      <c r="J44" s="165">
        <f aca="true" t="shared" si="16" ref="J44:J65">F44/D44*100</f>
        <v>270.75</v>
      </c>
      <c r="K44" s="165">
        <v>28.07</v>
      </c>
      <c r="L44" s="165">
        <f t="shared" si="1"/>
        <v>80.22999999999999</v>
      </c>
      <c r="M44" s="218">
        <f aca="true" t="shared" si="17" ref="M44:M66">F44/K44</f>
        <v>3.8582116138225864</v>
      </c>
      <c r="N44" s="164">
        <f>E44-червень!E44</f>
        <v>1</v>
      </c>
      <c r="O44" s="168">
        <f>F44-червень!F44</f>
        <v>5.5</v>
      </c>
      <c r="P44" s="167">
        <f t="shared" si="14"/>
        <v>4.5</v>
      </c>
      <c r="Q44" s="165">
        <f t="shared" si="11"/>
        <v>550</v>
      </c>
      <c r="R44" s="37">
        <v>10</v>
      </c>
      <c r="S44" s="37">
        <f t="shared" si="15"/>
        <v>-4.5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E45-червень!E45</f>
        <v>0</v>
      </c>
      <c r="O45" s="168">
        <f>F45-червень!F45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538.31</v>
      </c>
      <c r="G46" s="162">
        <f t="shared" si="12"/>
        <v>388.30999999999995</v>
      </c>
      <c r="H46" s="164">
        <f t="shared" si="10"/>
        <v>358.8733333333333</v>
      </c>
      <c r="I46" s="165">
        <f t="shared" si="13"/>
        <v>278.30999999999995</v>
      </c>
      <c r="J46" s="165">
        <f t="shared" si="16"/>
        <v>207.04230769230767</v>
      </c>
      <c r="K46" s="165">
        <v>187.96</v>
      </c>
      <c r="L46" s="165">
        <f t="shared" si="1"/>
        <v>350.3499999999999</v>
      </c>
      <c r="M46" s="218">
        <f t="shared" si="17"/>
        <v>2.863960417110023</v>
      </c>
      <c r="N46" s="164">
        <f>E46-червень!E46</f>
        <v>22</v>
      </c>
      <c r="O46" s="168">
        <f>F46-червень!F46</f>
        <v>36.77999999999997</v>
      </c>
      <c r="P46" s="167">
        <f t="shared" si="14"/>
        <v>14.779999999999973</v>
      </c>
      <c r="Q46" s="165">
        <f t="shared" si="11"/>
        <v>167.18181818181804</v>
      </c>
      <c r="R46" s="37">
        <v>70</v>
      </c>
      <c r="S46" s="37">
        <f t="shared" si="15"/>
        <v>-33.22000000000003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71.01</v>
      </c>
      <c r="G47" s="162">
        <f t="shared" si="12"/>
        <v>9.810000000000002</v>
      </c>
      <c r="H47" s="164">
        <f t="shared" si="10"/>
        <v>116.0294117647059</v>
      </c>
      <c r="I47" s="165">
        <f t="shared" si="13"/>
        <v>-26.489999999999995</v>
      </c>
      <c r="J47" s="165">
        <f t="shared" si="16"/>
        <v>72.83076923076923</v>
      </c>
      <c r="K47" s="165">
        <v>27.48</v>
      </c>
      <c r="L47" s="165">
        <f t="shared" si="1"/>
        <v>43.53</v>
      </c>
      <c r="M47" s="218"/>
      <c r="N47" s="164">
        <f>E47-червень!E47</f>
        <v>13.600000000000001</v>
      </c>
      <c r="O47" s="168">
        <f>F47-червень!F47</f>
        <v>0</v>
      </c>
      <c r="P47" s="167">
        <f t="shared" si="14"/>
        <v>-13.600000000000001</v>
      </c>
      <c r="Q47" s="165">
        <f t="shared" si="11"/>
        <v>0</v>
      </c>
      <c r="R47" s="37">
        <v>0</v>
      </c>
      <c r="S47" s="37">
        <f t="shared" si="15"/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675.45</v>
      </c>
      <c r="G48" s="162">
        <f t="shared" si="12"/>
        <v>155.45000000000005</v>
      </c>
      <c r="H48" s="164">
        <f t="shared" si="10"/>
        <v>129.89423076923077</v>
      </c>
      <c r="I48" s="165">
        <f t="shared" si="13"/>
        <v>-54.549999999999955</v>
      </c>
      <c r="J48" s="165">
        <f t="shared" si="16"/>
        <v>92.52739726027399</v>
      </c>
      <c r="K48" s="165">
        <v>248.37</v>
      </c>
      <c r="L48" s="165">
        <f t="shared" si="1"/>
        <v>427.08000000000004</v>
      </c>
      <c r="M48" s="218"/>
      <c r="N48" s="164">
        <f>E48-червень!E48</f>
        <v>60</v>
      </c>
      <c r="O48" s="168">
        <f>F48-червень!F48</f>
        <v>46.530000000000086</v>
      </c>
      <c r="P48" s="167">
        <f t="shared" si="14"/>
        <v>-13.469999999999914</v>
      </c>
      <c r="Q48" s="165">
        <f t="shared" si="11"/>
        <v>77.55000000000014</v>
      </c>
      <c r="R48" s="37">
        <v>100</v>
      </c>
      <c r="S48" s="37">
        <f t="shared" si="15"/>
        <v>-53.469999999999914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/>
      <c r="I49" s="165">
        <f t="shared" si="13"/>
        <v>23.38</v>
      </c>
      <c r="J49" s="165"/>
      <c r="K49" s="165"/>
      <c r="L49" s="165">
        <f t="shared" si="1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 t="shared" si="15"/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9391.97</v>
      </c>
      <c r="G50" s="162">
        <f t="shared" si="12"/>
        <v>2351.9699999999993</v>
      </c>
      <c r="H50" s="164">
        <f t="shared" si="10"/>
        <v>133.40866477272726</v>
      </c>
      <c r="I50" s="165">
        <f t="shared" si="13"/>
        <v>-1608.0300000000007</v>
      </c>
      <c r="J50" s="165">
        <f t="shared" si="16"/>
        <v>85.38154545454545</v>
      </c>
      <c r="K50" s="165">
        <v>6090.63</v>
      </c>
      <c r="L50" s="165">
        <f t="shared" si="1"/>
        <v>3301.3399999999992</v>
      </c>
      <c r="M50" s="218">
        <f t="shared" si="17"/>
        <v>1.5420358813456079</v>
      </c>
      <c r="N50" s="164">
        <f>E50-червень!E50</f>
        <v>1000</v>
      </c>
      <c r="O50" s="168">
        <f>F50-червень!F50</f>
        <v>1027.6599999999999</v>
      </c>
      <c r="P50" s="167">
        <f t="shared" si="14"/>
        <v>27.659999999999854</v>
      </c>
      <c r="Q50" s="165">
        <f t="shared" si="11"/>
        <v>102.76599999999998</v>
      </c>
      <c r="R50" s="37">
        <v>1400</v>
      </c>
      <c r="S50" s="37">
        <f t="shared" si="15"/>
        <v>-372.34000000000015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280.75</v>
      </c>
      <c r="G51" s="162">
        <f t="shared" si="12"/>
        <v>105.75</v>
      </c>
      <c r="H51" s="164">
        <f t="shared" si="10"/>
        <v>160.42857142857144</v>
      </c>
      <c r="I51" s="165">
        <f t="shared" si="13"/>
        <v>-29.25</v>
      </c>
      <c r="J51" s="165">
        <f t="shared" si="16"/>
        <v>90.56451612903226</v>
      </c>
      <c r="K51" s="165">
        <v>117.39</v>
      </c>
      <c r="L51" s="165">
        <f t="shared" si="1"/>
        <v>163.36</v>
      </c>
      <c r="M51" s="218"/>
      <c r="N51" s="164">
        <f>E51-червень!E51</f>
        <v>25</v>
      </c>
      <c r="O51" s="168">
        <f>F51-червень!F51</f>
        <v>17.939999999999998</v>
      </c>
      <c r="P51" s="167">
        <f t="shared" si="14"/>
        <v>-7.060000000000002</v>
      </c>
      <c r="Q51" s="165">
        <f t="shared" si="11"/>
        <v>71.75999999999999</v>
      </c>
      <c r="R51" s="37">
        <v>40</v>
      </c>
      <c r="S51" s="37">
        <f t="shared" si="15"/>
        <v>-22.060000000000002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0"/>
        <v>216</v>
      </c>
      <c r="I52" s="165">
        <f t="shared" si="13"/>
        <v>5.920000000000002</v>
      </c>
      <c r="J52" s="165">
        <f t="shared" si="16"/>
        <v>129.6</v>
      </c>
      <c r="K52" s="165">
        <v>8.54</v>
      </c>
      <c r="L52" s="165">
        <f t="shared" si="1"/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 t="shared" si="14"/>
        <v>6.200000000000003</v>
      </c>
      <c r="Q52" s="165">
        <f t="shared" si="11"/>
        <v>720.0000000000002</v>
      </c>
      <c r="R52" s="37">
        <v>4</v>
      </c>
      <c r="S52" s="37">
        <f t="shared" si="15"/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3778.99</v>
      </c>
      <c r="G53" s="162">
        <f t="shared" si="12"/>
        <v>-471.0100000000002</v>
      </c>
      <c r="H53" s="164">
        <f t="shared" si="10"/>
        <v>88.91741176470588</v>
      </c>
      <c r="I53" s="165">
        <f t="shared" si="13"/>
        <v>-3496.01</v>
      </c>
      <c r="J53" s="165">
        <f t="shared" si="16"/>
        <v>51.94487972508591</v>
      </c>
      <c r="K53" s="165">
        <v>4498</v>
      </c>
      <c r="L53" s="165">
        <f t="shared" si="1"/>
        <v>-719.0100000000002</v>
      </c>
      <c r="M53" s="218">
        <f t="shared" si="17"/>
        <v>0.8401489550911516</v>
      </c>
      <c r="N53" s="164">
        <f>E53-червень!E53</f>
        <v>605</v>
      </c>
      <c r="O53" s="168">
        <f>F53-червень!F53</f>
        <v>511.6399999999999</v>
      </c>
      <c r="P53" s="167">
        <f t="shared" si="14"/>
        <v>-93.36000000000013</v>
      </c>
      <c r="Q53" s="165">
        <f t="shared" si="11"/>
        <v>84.5685950413223</v>
      </c>
      <c r="R53" s="37">
        <v>550</v>
      </c>
      <c r="S53" s="37">
        <f t="shared" si="15"/>
        <v>-38.36000000000013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430.13</v>
      </c>
      <c r="G54" s="162">
        <f t="shared" si="12"/>
        <v>-259.87</v>
      </c>
      <c r="H54" s="164">
        <f t="shared" si="10"/>
        <v>62.337681159420285</v>
      </c>
      <c r="I54" s="165">
        <f t="shared" si="13"/>
        <v>-769.87</v>
      </c>
      <c r="J54" s="165">
        <f t="shared" si="16"/>
        <v>35.844166666666666</v>
      </c>
      <c r="K54" s="165">
        <v>3724.79</v>
      </c>
      <c r="L54" s="165">
        <f t="shared" si="1"/>
        <v>-3294.66</v>
      </c>
      <c r="M54" s="218">
        <f t="shared" si="17"/>
        <v>0.11547765108905468</v>
      </c>
      <c r="N54" s="164">
        <f>E54-червень!E54</f>
        <v>120</v>
      </c>
      <c r="O54" s="168">
        <f>F54-червень!F54</f>
        <v>41.70999999999998</v>
      </c>
      <c r="P54" s="167">
        <f t="shared" si="14"/>
        <v>-78.29000000000002</v>
      </c>
      <c r="Q54" s="165">
        <f t="shared" si="11"/>
        <v>34.75833333333332</v>
      </c>
      <c r="R54" s="37">
        <v>50</v>
      </c>
      <c r="S54" s="37">
        <f t="shared" si="15"/>
        <v>-8.29000000000002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368.61</v>
      </c>
      <c r="G55" s="34">
        <f t="shared" si="12"/>
        <v>-211.39</v>
      </c>
      <c r="H55" s="30">
        <f t="shared" si="10"/>
        <v>63.55344827586207</v>
      </c>
      <c r="I55" s="104">
        <f t="shared" si="13"/>
        <v>-629.39</v>
      </c>
      <c r="J55" s="104">
        <f t="shared" si="16"/>
        <v>36.93486973947896</v>
      </c>
      <c r="K55" s="104">
        <v>504.14</v>
      </c>
      <c r="L55" s="104">
        <f>F55-K55</f>
        <v>-135.52999999999997</v>
      </c>
      <c r="M55" s="109">
        <f t="shared" si="17"/>
        <v>0.73116594596739</v>
      </c>
      <c r="N55" s="105">
        <f>E55-червень!E55</f>
        <v>100</v>
      </c>
      <c r="O55" s="144">
        <f>F55-червень!F55</f>
        <v>36.08000000000004</v>
      </c>
      <c r="P55" s="106">
        <f t="shared" si="14"/>
        <v>-63.91999999999996</v>
      </c>
      <c r="Q55" s="119">
        <f t="shared" si="11"/>
        <v>36.08000000000004</v>
      </c>
      <c r="R55" s="37"/>
      <c r="S55" s="37">
        <f t="shared" si="15"/>
        <v>36.08000000000004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0.26</v>
      </c>
      <c r="L56" s="104">
        <f>F56-K56</f>
        <v>-0.11000000000000001</v>
      </c>
      <c r="M56" s="109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E57-червень!E57</f>
        <v>0</v>
      </c>
      <c r="O57" s="144">
        <f>F57-червень!F57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61.37</v>
      </c>
      <c r="G58" s="34">
        <f t="shared" si="12"/>
        <v>-48.63</v>
      </c>
      <c r="H58" s="30">
        <f t="shared" si="10"/>
        <v>55.79090909090909</v>
      </c>
      <c r="I58" s="104">
        <f t="shared" si="13"/>
        <v>-138.63</v>
      </c>
      <c r="J58" s="104">
        <f t="shared" si="16"/>
        <v>30.685000000000002</v>
      </c>
      <c r="K58" s="104">
        <v>3220.38</v>
      </c>
      <c r="L58" s="104">
        <f>F58-K58</f>
        <v>-3159.01</v>
      </c>
      <c r="M58" s="109">
        <f t="shared" si="17"/>
        <v>0.01905675727709152</v>
      </c>
      <c r="N58" s="105">
        <f>E58-червень!E58</f>
        <v>20</v>
      </c>
      <c r="O58" s="144">
        <f>F58-червень!F58</f>
        <v>5.6299999999999955</v>
      </c>
      <c r="P58" s="106">
        <f t="shared" si="14"/>
        <v>-14.370000000000005</v>
      </c>
      <c r="Q58" s="119">
        <f t="shared" si="11"/>
        <v>28.149999999999974</v>
      </c>
      <c r="R58" s="37"/>
      <c r="S58" s="37">
        <f t="shared" si="15"/>
        <v>5.6299999999999955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5194.56</v>
      </c>
      <c r="G60" s="162">
        <f t="shared" si="12"/>
        <v>-265.4399999999996</v>
      </c>
      <c r="H60" s="164">
        <f t="shared" si="10"/>
        <v>95.13846153846156</v>
      </c>
      <c r="I60" s="165">
        <f t="shared" si="13"/>
        <v>-2155.4399999999996</v>
      </c>
      <c r="J60" s="165">
        <f t="shared" si="16"/>
        <v>70.67428571428572</v>
      </c>
      <c r="K60" s="165">
        <v>4261.9</v>
      </c>
      <c r="L60" s="165">
        <f aca="true" t="shared" si="18" ref="L60:L66">F60-K60</f>
        <v>932.6600000000008</v>
      </c>
      <c r="M60" s="218">
        <f t="shared" si="17"/>
        <v>1.2188366690912507</v>
      </c>
      <c r="N60" s="164">
        <f>E60-червень!E60</f>
        <v>600</v>
      </c>
      <c r="O60" s="168">
        <f>F60-червень!F60</f>
        <v>359.78000000000065</v>
      </c>
      <c r="P60" s="167">
        <f t="shared" si="14"/>
        <v>-240.21999999999935</v>
      </c>
      <c r="Q60" s="165">
        <f t="shared" si="11"/>
        <v>59.963333333333445</v>
      </c>
      <c r="R60" s="37">
        <v>500</v>
      </c>
      <c r="S60" s="37">
        <f t="shared" si="15"/>
        <v>-140.21999999999935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1189.28</v>
      </c>
      <c r="G62" s="162"/>
      <c r="H62" s="164"/>
      <c r="I62" s="165"/>
      <c r="J62" s="165"/>
      <c r="K62" s="166">
        <v>731.46</v>
      </c>
      <c r="L62" s="165">
        <f t="shared" si="18"/>
        <v>457.81999999999994</v>
      </c>
      <c r="M62" s="218">
        <f t="shared" si="17"/>
        <v>1.6258988871571924</v>
      </c>
      <c r="N62" s="195"/>
      <c r="O62" s="179">
        <f>F62-червень!F62</f>
        <v>119.56999999999994</v>
      </c>
      <c r="P62" s="166"/>
      <c r="Q62" s="165"/>
      <c r="R62" s="37"/>
      <c r="S62" s="37">
        <f t="shared" si="15"/>
        <v>119.56999999999994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54.64</v>
      </c>
      <c r="G64" s="162">
        <f t="shared" si="12"/>
        <v>4.640000000000001</v>
      </c>
      <c r="H64" s="164">
        <f t="shared" si="10"/>
        <v>109.28</v>
      </c>
      <c r="I64" s="165">
        <f t="shared" si="13"/>
        <v>-105.36</v>
      </c>
      <c r="J64" s="165">
        <f t="shared" si="16"/>
        <v>34.150000000000006</v>
      </c>
      <c r="K64" s="165">
        <v>78.18</v>
      </c>
      <c r="L64" s="165">
        <f t="shared" si="18"/>
        <v>-23.540000000000006</v>
      </c>
      <c r="M64" s="218">
        <f t="shared" si="17"/>
        <v>0.6988999744180097</v>
      </c>
      <c r="N64" s="164">
        <f>E64-червень!E64</f>
        <v>30</v>
      </c>
      <c r="O64" s="168">
        <f>F64-червень!F64</f>
        <v>0</v>
      </c>
      <c r="P64" s="167">
        <f t="shared" si="14"/>
        <v>-30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28.27</v>
      </c>
      <c r="G65" s="162">
        <f t="shared" si="12"/>
        <v>19.47</v>
      </c>
      <c r="H65" s="164">
        <f t="shared" si="10"/>
        <v>321.25</v>
      </c>
      <c r="I65" s="165">
        <f t="shared" si="13"/>
        <v>13.27</v>
      </c>
      <c r="J65" s="165">
        <f t="shared" si="16"/>
        <v>188.46666666666667</v>
      </c>
      <c r="K65" s="165">
        <v>13.52</v>
      </c>
      <c r="L65" s="165">
        <f t="shared" si="18"/>
        <v>14.75</v>
      </c>
      <c r="M65" s="218">
        <f t="shared" si="17"/>
        <v>2.0909763313609466</v>
      </c>
      <c r="N65" s="164">
        <f>E65-червень!E65</f>
        <v>1.200000000000001</v>
      </c>
      <c r="O65" s="168">
        <f>F65-червень!F65</f>
        <v>2.8900000000000006</v>
      </c>
      <c r="P65" s="167">
        <f t="shared" si="14"/>
        <v>1.6899999999999995</v>
      </c>
      <c r="Q65" s="165">
        <f t="shared" si="11"/>
        <v>240.8333333333332</v>
      </c>
      <c r="R65" s="37">
        <v>3.2</v>
      </c>
      <c r="S65" s="37">
        <f t="shared" si="15"/>
        <v>-0.3099999999999996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1.02</v>
      </c>
      <c r="L66" s="165">
        <f t="shared" si="18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685558.65</v>
      </c>
      <c r="G67" s="151">
        <f>F67-E67</f>
        <v>-76984.04999999993</v>
      </c>
      <c r="H67" s="152">
        <f>F67/E67*100</f>
        <v>89.9042965069366</v>
      </c>
      <c r="I67" s="153">
        <f>F67-D67</f>
        <v>-671932.4500000001</v>
      </c>
      <c r="J67" s="153">
        <f>F67/D67*100</f>
        <v>50.50188910999122</v>
      </c>
      <c r="K67" s="153">
        <v>580607.78</v>
      </c>
      <c r="L67" s="153">
        <f>F67-K67</f>
        <v>104950.87</v>
      </c>
      <c r="M67" s="219">
        <f>F67/K67</f>
        <v>1.1807603577065398</v>
      </c>
      <c r="N67" s="151">
        <f>N8+N41+N65+N66</f>
        <v>123743.40000000004</v>
      </c>
      <c r="O67" s="151">
        <f>O8+O41+O65+O66</f>
        <v>42009.93999999996</v>
      </c>
      <c r="P67" s="155">
        <f>O67-N67</f>
        <v>-81733.46000000008</v>
      </c>
      <c r="Q67" s="153">
        <f>O67/N67*100</f>
        <v>33.94923688859361</v>
      </c>
      <c r="R67" s="27">
        <f>R8+R41+R65+R66</f>
        <v>108115.7</v>
      </c>
      <c r="S67" s="280">
        <f>O67-R67</f>
        <v>-66105.76000000004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3.73</v>
      </c>
      <c r="G76" s="162">
        <f t="shared" si="19"/>
        <v>-13496.27</v>
      </c>
      <c r="H76" s="164">
        <f>F76/E76*100</f>
        <v>0.02762962962962963</v>
      </c>
      <c r="I76" s="167">
        <f t="shared" si="20"/>
        <v>-104202.3</v>
      </c>
      <c r="J76" s="167">
        <f>F76/D76*100</f>
        <v>0.0035794473697923234</v>
      </c>
      <c r="K76" s="167">
        <v>1535.06</v>
      </c>
      <c r="L76" s="167">
        <f t="shared" si="21"/>
        <v>-1531.33</v>
      </c>
      <c r="M76" s="209">
        <f>F76/K76</f>
        <v>0.0024298724479824892</v>
      </c>
      <c r="N76" s="164">
        <f>E76-червень!E76</f>
        <v>4500</v>
      </c>
      <c r="O76" s="168">
        <f>F76-червень!F76</f>
        <v>0.009999999999999787</v>
      </c>
      <c r="P76" s="167">
        <f t="shared" si="22"/>
        <v>-4499.99</v>
      </c>
      <c r="Q76" s="167">
        <f>O76/N76*100</f>
        <v>0.00022222222222221752</v>
      </c>
      <c r="R76" s="38">
        <v>0</v>
      </c>
      <c r="S76" s="38">
        <f aca="true" t="shared" si="23" ref="S76:S87">O76-R76</f>
        <v>0.009999999999999787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1723.18</v>
      </c>
      <c r="G77" s="162">
        <f t="shared" si="19"/>
        <v>-17506.82</v>
      </c>
      <c r="H77" s="164">
        <f>F77/E77*100</f>
        <v>8.960894435777432</v>
      </c>
      <c r="I77" s="167">
        <f t="shared" si="20"/>
        <v>-52276.82</v>
      </c>
      <c r="J77" s="167">
        <f>F77/D77*100</f>
        <v>3.191074074074074</v>
      </c>
      <c r="K77" s="167">
        <v>6751.5</v>
      </c>
      <c r="L77" s="167">
        <f t="shared" si="21"/>
        <v>-5028.32</v>
      </c>
      <c r="M77" s="209">
        <f>F77/K77</f>
        <v>0.25522920832407614</v>
      </c>
      <c r="N77" s="164">
        <f>E77-червень!E77</f>
        <v>3600</v>
      </c>
      <c r="O77" s="168">
        <f>F77-червень!F77</f>
        <v>106.02999999999997</v>
      </c>
      <c r="P77" s="167">
        <f t="shared" si="22"/>
        <v>-3493.9700000000003</v>
      </c>
      <c r="Q77" s="167">
        <f>O77/N77*100</f>
        <v>2.9452777777777768</v>
      </c>
      <c r="R77" s="38">
        <v>200</v>
      </c>
      <c r="S77" s="38">
        <f t="shared" si="23"/>
        <v>-93.97000000000003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6883.25</v>
      </c>
      <c r="G78" s="162">
        <f t="shared" si="19"/>
        <v>-13166.75</v>
      </c>
      <c r="H78" s="164">
        <f>F78/E78*100</f>
        <v>34.33042394014962</v>
      </c>
      <c r="I78" s="167">
        <f t="shared" si="20"/>
        <v>-72116.75</v>
      </c>
      <c r="J78" s="167">
        <f>F78/D78*100</f>
        <v>8.712974683544305</v>
      </c>
      <c r="K78" s="167">
        <v>9509.69</v>
      </c>
      <c r="L78" s="167">
        <f t="shared" si="21"/>
        <v>-2626.4400000000005</v>
      </c>
      <c r="M78" s="209">
        <f>F78/K78</f>
        <v>0.7238143409511771</v>
      </c>
      <c r="N78" s="164">
        <f>E78-червень!E78</f>
        <v>3850</v>
      </c>
      <c r="O78" s="168">
        <f>F78-червень!F78</f>
        <v>315.02999999999975</v>
      </c>
      <c r="P78" s="167">
        <f t="shared" si="22"/>
        <v>-3534.9700000000003</v>
      </c>
      <c r="Q78" s="167">
        <f>O78/N78*100</f>
        <v>8.182597402597395</v>
      </c>
      <c r="R78" s="38">
        <v>1500</v>
      </c>
      <c r="S78" s="38">
        <f t="shared" si="23"/>
        <v>-1184.9700000000003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19"/>
        <v>1</v>
      </c>
      <c r="H79" s="164">
        <f>F79/E79*100</f>
        <v>114.28571428571428</v>
      </c>
      <c r="I79" s="167">
        <f t="shared" si="20"/>
        <v>-4</v>
      </c>
      <c r="J79" s="167">
        <f>F79/D79*100</f>
        <v>66.66666666666666</v>
      </c>
      <c r="K79" s="167">
        <v>6</v>
      </c>
      <c r="L79" s="167">
        <f t="shared" si="21"/>
        <v>2</v>
      </c>
      <c r="M79" s="209"/>
      <c r="N79" s="164">
        <f>E79-червень!E79</f>
        <v>1</v>
      </c>
      <c r="O79" s="168">
        <f>F79-червень!F79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8618.16</v>
      </c>
      <c r="G80" s="185">
        <f t="shared" si="19"/>
        <v>-44168.84</v>
      </c>
      <c r="H80" s="186">
        <f>F80/E80*100</f>
        <v>16.326292458370432</v>
      </c>
      <c r="I80" s="187">
        <f t="shared" si="20"/>
        <v>-228599.87</v>
      </c>
      <c r="J80" s="187">
        <f>F80/D80*100</f>
        <v>3.6330122124359607</v>
      </c>
      <c r="K80" s="187">
        <v>17802.25</v>
      </c>
      <c r="L80" s="187">
        <f t="shared" si="21"/>
        <v>-9184.09</v>
      </c>
      <c r="M80" s="214">
        <f>F80/K80</f>
        <v>0.4841050990745552</v>
      </c>
      <c r="N80" s="185">
        <f>N76+N77+N78+N79</f>
        <v>11951</v>
      </c>
      <c r="O80" s="189">
        <f>O76+O77+O78+O79</f>
        <v>422.0699999999997</v>
      </c>
      <c r="P80" s="187">
        <f t="shared" si="22"/>
        <v>-11528.93</v>
      </c>
      <c r="Q80" s="187">
        <f>O80/N80*100</f>
        <v>3.531670989875322</v>
      </c>
      <c r="R80" s="39">
        <f>SUM(R76:R79)</f>
        <v>1701</v>
      </c>
      <c r="S80" s="39">
        <f t="shared" si="23"/>
        <v>-1278.9300000000003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19"/>
        <v>34.14</v>
      </c>
      <c r="H81" s="164"/>
      <c r="I81" s="167">
        <f t="shared" si="20"/>
        <v>-1.8599999999999994</v>
      </c>
      <c r="J81" s="167"/>
      <c r="K81" s="167">
        <v>5.21</v>
      </c>
      <c r="L81" s="167">
        <f t="shared" si="21"/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2"/>
        <v>2.8299999999999983</v>
      </c>
      <c r="Q81" s="167"/>
      <c r="R81" s="38">
        <v>1</v>
      </c>
      <c r="S81" s="38">
        <f t="shared" si="23"/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5104.58</v>
      </c>
      <c r="G83" s="162">
        <f t="shared" si="19"/>
        <v>593.7799999999997</v>
      </c>
      <c r="H83" s="164">
        <f>F83/E83*100</f>
        <v>113.16351866631196</v>
      </c>
      <c r="I83" s="167">
        <f t="shared" si="20"/>
        <v>-3255.42</v>
      </c>
      <c r="J83" s="167">
        <f>F83/D83*100</f>
        <v>61.05956937799043</v>
      </c>
      <c r="K83" s="167">
        <v>4902.34</v>
      </c>
      <c r="L83" s="167">
        <f t="shared" si="21"/>
        <v>202.23999999999978</v>
      </c>
      <c r="M83" s="209"/>
      <c r="N83" s="164">
        <f>E83-червень!E83</f>
        <v>3.800000000000182</v>
      </c>
      <c r="O83" s="168">
        <f>F83-червень!F83</f>
        <v>0.569999999999709</v>
      </c>
      <c r="P83" s="167">
        <f>O83-N83</f>
        <v>-3.230000000000473</v>
      </c>
      <c r="Q83" s="190">
        <f>O83/N83*100</f>
        <v>14.999999999991623</v>
      </c>
      <c r="R83" s="41">
        <v>2850</v>
      </c>
      <c r="S83" s="288">
        <f t="shared" si="23"/>
        <v>-2849.4300000000003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0.92</v>
      </c>
      <c r="L84" s="167">
        <f t="shared" si="21"/>
        <v>-0.87</v>
      </c>
      <c r="M84" s="209">
        <f aca="true" t="shared" si="24" ref="M84:M89">F84/K84</f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5142.7699999999995</v>
      </c>
      <c r="G85" s="183">
        <f>G81+G84+G82+G83</f>
        <v>627.9699999999998</v>
      </c>
      <c r="H85" s="186">
        <f>F85/E85*100</f>
        <v>113.90914326216</v>
      </c>
      <c r="I85" s="187">
        <f t="shared" si="20"/>
        <v>-3257.2300000000005</v>
      </c>
      <c r="J85" s="187">
        <f>F85/D85*100</f>
        <v>61.22345238095237</v>
      </c>
      <c r="K85" s="187">
        <v>4908.48</v>
      </c>
      <c r="L85" s="187">
        <f t="shared" si="21"/>
        <v>234.28999999999996</v>
      </c>
      <c r="M85" s="220">
        <f t="shared" si="24"/>
        <v>1.0477316806832258</v>
      </c>
      <c r="N85" s="185">
        <f>N81+N84+N82+N83</f>
        <v>3.800000000000182</v>
      </c>
      <c r="O85" s="189">
        <f>O81+O84+O82+O83</f>
        <v>3.3999999999997073</v>
      </c>
      <c r="P85" s="185">
        <f>P81+P84+P82+P83</f>
        <v>-0.40000000000047464</v>
      </c>
      <c r="Q85" s="187">
        <f>O85/N85*100</f>
        <v>89.47368421051432</v>
      </c>
      <c r="R85" s="39">
        <f>SUM(R81:R84)</f>
        <v>2851</v>
      </c>
      <c r="S85" s="39">
        <f t="shared" si="23"/>
        <v>-2847.6000000000004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7.74</v>
      </c>
      <c r="G86" s="162">
        <f t="shared" si="19"/>
        <v>-17.060000000000002</v>
      </c>
      <c r="H86" s="164">
        <f>F86/E86*100</f>
        <v>31.209677419354836</v>
      </c>
      <c r="I86" s="167">
        <f t="shared" si="20"/>
        <v>-30.259999999999998</v>
      </c>
      <c r="J86" s="167">
        <f>F86/D86*100</f>
        <v>20.36842105263158</v>
      </c>
      <c r="K86" s="167">
        <v>18.76</v>
      </c>
      <c r="L86" s="167">
        <f t="shared" si="21"/>
        <v>-11.020000000000001</v>
      </c>
      <c r="M86" s="209">
        <f t="shared" si="24"/>
        <v>0.4125799573560767</v>
      </c>
      <c r="N86" s="164">
        <f>E86-червень!E86</f>
        <v>1.5</v>
      </c>
      <c r="O86" s="168">
        <f>F86-червень!F86</f>
        <v>0</v>
      </c>
      <c r="P86" s="167">
        <f t="shared" si="22"/>
        <v>-1.5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13801.609999999999</v>
      </c>
      <c r="G88" s="192">
        <f>F88-E88</f>
        <v>-43524.990000000005</v>
      </c>
      <c r="H88" s="193">
        <f>F88/E88*100</f>
        <v>24.075403041519987</v>
      </c>
      <c r="I88" s="194">
        <f>F88-D88</f>
        <v>-231854.42</v>
      </c>
      <c r="J88" s="194">
        <f>F88/D88*100</f>
        <v>5.618266321408841</v>
      </c>
      <c r="K88" s="194">
        <v>22727.2</v>
      </c>
      <c r="L88" s="194">
        <f>F88-K88</f>
        <v>-8925.590000000002</v>
      </c>
      <c r="M88" s="221">
        <f t="shared" si="24"/>
        <v>0.6072727832729063</v>
      </c>
      <c r="N88" s="191">
        <f>N74+N75+N80+N85+N86</f>
        <v>11956.3</v>
      </c>
      <c r="O88" s="191">
        <f>O74+O75+O80+O85+O86</f>
        <v>425.4699999999994</v>
      </c>
      <c r="P88" s="194">
        <f t="shared" si="22"/>
        <v>-11530.83</v>
      </c>
      <c r="Q88" s="194">
        <f>O88/N88*100</f>
        <v>3.558542358421915</v>
      </c>
      <c r="R88" s="27">
        <f>R80+R85+R86+R87</f>
        <v>4553.2</v>
      </c>
      <c r="S88" s="27">
        <f>S80+S85+S86+S87</f>
        <v>-4127.7300000000005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699360.26</v>
      </c>
      <c r="G89" s="192">
        <f>F89-E89</f>
        <v>-120509.03999999992</v>
      </c>
      <c r="H89" s="193">
        <f>F89/E89*100</f>
        <v>85.30143280154533</v>
      </c>
      <c r="I89" s="194">
        <f>F89-D89</f>
        <v>-903786.8700000001</v>
      </c>
      <c r="J89" s="194">
        <f>F89/D89*100</f>
        <v>43.624209338789754</v>
      </c>
      <c r="K89" s="194">
        <f>K67+K88</f>
        <v>603334.98</v>
      </c>
      <c r="L89" s="194">
        <f>F89-K89</f>
        <v>96025.28000000003</v>
      </c>
      <c r="M89" s="221">
        <f t="shared" si="24"/>
        <v>1.1591574882663027</v>
      </c>
      <c r="N89" s="192">
        <f>N67+N88</f>
        <v>135699.70000000004</v>
      </c>
      <c r="O89" s="192">
        <f>O67+O88</f>
        <v>42435.40999999996</v>
      </c>
      <c r="P89" s="194">
        <f t="shared" si="22"/>
        <v>-93264.29000000008</v>
      </c>
      <c r="Q89" s="194">
        <f>O89/N89*100</f>
        <v>31.271557711623494</v>
      </c>
      <c r="R89" s="27">
        <f>R67+R88</f>
        <v>112668.9</v>
      </c>
      <c r="S89" s="27">
        <f>S67+S88</f>
        <v>-70233.49000000003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12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6811.121666666673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42929</v>
      </c>
      <c r="D93" s="29">
        <v>4044.3</v>
      </c>
      <c r="G93" s="4" t="s">
        <v>58</v>
      </c>
      <c r="O93" s="303"/>
      <c r="P93" s="303"/>
    </row>
    <row r="94" spans="3:16" ht="15">
      <c r="C94" s="81">
        <v>42928</v>
      </c>
      <c r="D94" s="29">
        <v>2332.3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42927</v>
      </c>
      <c r="D95" s="29">
        <v>2681.5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0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982.12</v>
      </c>
      <c r="G100" s="68">
        <f>G48+G51+G52</f>
        <v>275.12000000000006</v>
      </c>
      <c r="H100" s="69"/>
      <c r="I100" s="69"/>
      <c r="N100" s="29">
        <f>N48+N51+N52</f>
        <v>86</v>
      </c>
      <c r="O100" s="202">
        <f>O48+O51+O52</f>
        <v>71.67000000000009</v>
      </c>
      <c r="P100" s="29">
        <f>P48+P51+P52</f>
        <v>-14.329999999999913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649097.3700000001</v>
      </c>
      <c r="G102" s="29">
        <f>F102-E102</f>
        <v>-78514.12999999989</v>
      </c>
      <c r="H102" s="230">
        <f>F102/E102</f>
        <v>0.8920933355231467</v>
      </c>
      <c r="I102" s="29">
        <f>F102-D102</f>
        <v>-649951.23</v>
      </c>
      <c r="J102" s="230">
        <f>F102/D102</f>
        <v>0.4996713517877623</v>
      </c>
      <c r="N102" s="29">
        <f>N9+N15+N17+N18+N19+N23+N42+N45+N65+N59</f>
        <v>118465.80000000003</v>
      </c>
      <c r="O102" s="229">
        <f>O9+O15+O17+O18+O19+O23+O42+O45+O65+O59</f>
        <v>37393.51999999996</v>
      </c>
      <c r="P102" s="29">
        <f>O102-N102</f>
        <v>-81072.28000000007</v>
      </c>
      <c r="Q102" s="230">
        <f>O102/N102</f>
        <v>0.3156482292779853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36437.409999999996</v>
      </c>
      <c r="G103" s="29">
        <f>G43+G44+G46+G48+G50+G51+G52+G53+G54+G60+G64+G47</f>
        <v>1511.459999999999</v>
      </c>
      <c r="H103" s="230">
        <f>F103/E103</f>
        <v>1.0431193317149139</v>
      </c>
      <c r="I103" s="29">
        <f>I43+I44+I46+I48+I50+I51+I52+I53+I54+I60+I64+I47</f>
        <v>-21999.84</v>
      </c>
      <c r="J103" s="230">
        <f>F103/D103</f>
        <v>0.6234745262437438</v>
      </c>
      <c r="K103" s="29">
        <f aca="true" t="shared" si="25" ref="K103:P103">K43+K44+K46+K48+K50+K51+K52+K53+K54+K60+K64+K47</f>
        <v>36542.33</v>
      </c>
      <c r="L103" s="29">
        <f t="shared" si="25"/>
        <v>-99.67000000000124</v>
      </c>
      <c r="M103" s="29">
        <f t="shared" si="25"/>
        <v>11.137571161967687</v>
      </c>
      <c r="N103" s="29">
        <f>N43+N44+N46+N48+N50+N51+N52+N53+N54+N60+N64+N47+N66</f>
        <v>5277.6</v>
      </c>
      <c r="O103" s="229">
        <f>O43+O44+O46+O48+O50+O51+O52+O53+O54+O60+O64+O47+O66</f>
        <v>4593.7300000000005</v>
      </c>
      <c r="P103" s="29">
        <f t="shared" si="25"/>
        <v>-683.8699999999998</v>
      </c>
      <c r="Q103" s="230">
        <f>O103/N103</f>
        <v>0.8704202667879339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762542.7</v>
      </c>
      <c r="F104" s="229">
        <f t="shared" si="26"/>
        <v>685534.7800000001</v>
      </c>
      <c r="G104" s="29">
        <f t="shared" si="26"/>
        <v>-77002.6699999999</v>
      </c>
      <c r="H104" s="230">
        <f>F104/E104</f>
        <v>0.8990116619043107</v>
      </c>
      <c r="I104" s="29">
        <f t="shared" si="26"/>
        <v>-671951.07</v>
      </c>
      <c r="J104" s="230">
        <f>F104/D104</f>
        <v>0.5050013071908906</v>
      </c>
      <c r="K104" s="29">
        <f t="shared" si="26"/>
        <v>36542.33</v>
      </c>
      <c r="L104" s="29">
        <f t="shared" si="26"/>
        <v>-99.67000000000124</v>
      </c>
      <c r="M104" s="29">
        <f t="shared" si="26"/>
        <v>11.137571161967687</v>
      </c>
      <c r="N104" s="29">
        <f t="shared" si="26"/>
        <v>123743.40000000004</v>
      </c>
      <c r="O104" s="229">
        <f t="shared" si="26"/>
        <v>41987.24999999996</v>
      </c>
      <c r="P104" s="29">
        <f t="shared" si="26"/>
        <v>-81756.15000000007</v>
      </c>
      <c r="Q104" s="230">
        <f>O104/N104</f>
        <v>0.3393090055712058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23.869999999878928</v>
      </c>
      <c r="G105" s="29">
        <f t="shared" si="27"/>
        <v>18.61999999996624</v>
      </c>
      <c r="H105" s="230"/>
      <c r="I105" s="29">
        <f t="shared" si="27"/>
        <v>18.619999999878928</v>
      </c>
      <c r="J105" s="230"/>
      <c r="K105" s="29">
        <f t="shared" si="27"/>
        <v>544065.4500000001</v>
      </c>
      <c r="L105" s="29">
        <f t="shared" si="27"/>
        <v>105050.54</v>
      </c>
      <c r="M105" s="29">
        <f t="shared" si="27"/>
        <v>-9.956810804261147</v>
      </c>
      <c r="N105" s="29">
        <f t="shared" si="27"/>
        <v>0</v>
      </c>
      <c r="O105" s="29">
        <f t="shared" si="27"/>
        <v>22.689999999995052</v>
      </c>
      <c r="P105" s="29">
        <f t="shared" si="27"/>
        <v>22.689999999987776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34055.93</v>
      </c>
      <c r="G111" s="192">
        <f>F111-E111</f>
        <v>-41372.73</v>
      </c>
      <c r="H111" s="193">
        <f>F111/E111*100</f>
        <v>45.14985418009547</v>
      </c>
      <c r="I111" s="194">
        <f>F111-D111</f>
        <v>-284008.32</v>
      </c>
      <c r="J111" s="194">
        <f>F111/D111*100</f>
        <v>10.707248614077187</v>
      </c>
      <c r="K111" s="194">
        <v>3039.87</v>
      </c>
      <c r="L111" s="194">
        <f>F111-K111</f>
        <v>31016.06</v>
      </c>
      <c r="M111" s="269">
        <f>F111/K111</f>
        <v>11.203087632036898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719614.5800000001</v>
      </c>
      <c r="G112" s="192">
        <f>F112-E112</f>
        <v>-118356.77999999991</v>
      </c>
      <c r="H112" s="193">
        <f>F112/E112*100</f>
        <v>85.87579651886911</v>
      </c>
      <c r="I112" s="194">
        <f>F112-D112</f>
        <v>-955940.77</v>
      </c>
      <c r="J112" s="194">
        <f>F112/D112*100</f>
        <v>42.94782503007137</v>
      </c>
      <c r="K112" s="194">
        <f>K89+K111</f>
        <v>606374.85</v>
      </c>
      <c r="L112" s="194">
        <f>F112-K112</f>
        <v>113239.7300000001</v>
      </c>
      <c r="M112" s="269">
        <f>F112/K112</f>
        <v>1.1867487248193096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1265443.6600000001</v>
      </c>
      <c r="G124" s="278">
        <f t="shared" si="29"/>
        <v>-123183.29999999981</v>
      </c>
      <c r="H124" s="277">
        <f t="shared" si="31"/>
        <v>91.12912945316863</v>
      </c>
      <c r="I124" s="279">
        <f t="shared" si="30"/>
        <v>-1632980.38</v>
      </c>
      <c r="J124" s="279">
        <f t="shared" si="32"/>
        <v>43.659714470212585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53" sqref="E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212</v>
      </c>
      <c r="O3" s="331" t="s">
        <v>213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209</v>
      </c>
      <c r="F4" s="314" t="s">
        <v>33</v>
      </c>
      <c r="G4" s="305" t="s">
        <v>210</v>
      </c>
      <c r="H4" s="316" t="s">
        <v>211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217</v>
      </c>
      <c r="P4" s="305" t="s">
        <v>49</v>
      </c>
      <c r="Q4" s="307" t="s">
        <v>48</v>
      </c>
      <c r="R4" s="91" t="s">
        <v>64</v>
      </c>
      <c r="S4" s="91"/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214</v>
      </c>
      <c r="L5" s="309"/>
      <c r="M5" s="310"/>
      <c r="N5" s="317"/>
      <c r="O5" s="319"/>
      <c r="P5" s="306"/>
      <c r="Q5" s="307"/>
      <c r="R5" s="311" t="s">
        <v>215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 aca="true" t="shared" si="0" ref="G8:G40">F8-E8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 aca="true" t="shared" si="1" ref="L8:L54">F8-K8</f>
        <v>143958.7</v>
      </c>
      <c r="M8" s="205">
        <f aca="true" t="shared" si="2" ref="M8:M31">F8/K8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 t="shared" si="0"/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 t="shared" si="1"/>
        <v>90099.84</v>
      </c>
      <c r="M9" s="206">
        <f t="shared" si="2"/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 t="shared" si="0"/>
        <v>4480.760000000009</v>
      </c>
      <c r="H10" s="30">
        <f aca="true" t="shared" si="3" ref="H10:H39">F10/E10*100</f>
        <v>101.40876050103125</v>
      </c>
      <c r="I10" s="104">
        <f aca="true" t="shared" si="4" ref="I10:I40">F10-D10</f>
        <v>-378772.24</v>
      </c>
      <c r="J10" s="104">
        <f aca="true" t="shared" si="5" ref="J10:J39">F10/D10*100</f>
        <v>45.991293523470844</v>
      </c>
      <c r="K10" s="106">
        <v>231268.41</v>
      </c>
      <c r="L10" s="106">
        <f t="shared" si="1"/>
        <v>91276.35</v>
      </c>
      <c r="M10" s="207">
        <f t="shared" si="2"/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 aca="true" t="shared" si="6" ref="P10:P40">O10-N10</f>
        <v>61.5800000000163</v>
      </c>
      <c r="Q10" s="104">
        <f aca="true" t="shared" si="7" ref="Q10:Q27">O10/N10*100</f>
        <v>100.09487858991744</v>
      </c>
      <c r="R10" s="37"/>
      <c r="S10" s="100">
        <f aca="true" t="shared" si="8" ref="S10:S35">O10-R10</f>
        <v>64965.580000000016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 t="shared" si="0"/>
        <v>-3114.1100000000006</v>
      </c>
      <c r="H11" s="30">
        <f t="shared" si="3"/>
        <v>85.97247747747747</v>
      </c>
      <c r="I11" s="104">
        <f t="shared" si="4"/>
        <v>-27420.11</v>
      </c>
      <c r="J11" s="104">
        <f t="shared" si="5"/>
        <v>41.039629295144714</v>
      </c>
      <c r="K11" s="106">
        <v>18032.25</v>
      </c>
      <c r="L11" s="106">
        <f t="shared" si="1"/>
        <v>1053.6399999999994</v>
      </c>
      <c r="M11" s="207">
        <f t="shared" si="2"/>
        <v>1.0584308669189924</v>
      </c>
      <c r="N11" s="105">
        <f>E11-травень!E11</f>
        <v>3840</v>
      </c>
      <c r="O11" s="144">
        <f>F11-травень!F11</f>
        <v>3265.99</v>
      </c>
      <c r="P11" s="106">
        <f t="shared" si="6"/>
        <v>-574.0100000000002</v>
      </c>
      <c r="Q11" s="104">
        <f t="shared" si="7"/>
        <v>85.05182291666667</v>
      </c>
      <c r="R11" s="37"/>
      <c r="S11" s="100">
        <f t="shared" si="8"/>
        <v>3265.99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 t="shared" si="0"/>
        <v>673.0299999999997</v>
      </c>
      <c r="H12" s="30">
        <f t="shared" si="3"/>
        <v>117.52682291666665</v>
      </c>
      <c r="I12" s="104">
        <f t="shared" si="4"/>
        <v>-3766.9700000000003</v>
      </c>
      <c r="J12" s="104">
        <f t="shared" si="5"/>
        <v>54.50519323671498</v>
      </c>
      <c r="K12" s="106">
        <v>5288.66</v>
      </c>
      <c r="L12" s="106">
        <f t="shared" si="1"/>
        <v>-775.6300000000001</v>
      </c>
      <c r="M12" s="207">
        <f t="shared" si="2"/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 t="shared" si="6"/>
        <v>-129.23000000000047</v>
      </c>
      <c r="Q12" s="104">
        <f t="shared" si="7"/>
        <v>85.64111111111106</v>
      </c>
      <c r="R12" s="37"/>
      <c r="S12" s="100">
        <f t="shared" si="8"/>
        <v>770.7699999999995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 t="shared" si="0"/>
        <v>131.17000000000007</v>
      </c>
      <c r="H13" s="30">
        <f t="shared" si="3"/>
        <v>102.8765350877193</v>
      </c>
      <c r="I13" s="104">
        <f t="shared" si="4"/>
        <v>-4698.83</v>
      </c>
      <c r="J13" s="104">
        <f t="shared" si="5"/>
        <v>49.95921192758254</v>
      </c>
      <c r="K13" s="106">
        <v>4452.61</v>
      </c>
      <c r="L13" s="106">
        <f t="shared" si="1"/>
        <v>238.5600000000004</v>
      </c>
      <c r="M13" s="207">
        <f t="shared" si="2"/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 t="shared" si="6"/>
        <v>148.57999999999993</v>
      </c>
      <c r="Q13" s="104">
        <f t="shared" si="7"/>
        <v>122.5121212121212</v>
      </c>
      <c r="R13" s="37"/>
      <c r="S13" s="100">
        <f t="shared" si="8"/>
        <v>808.5799999999999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 t="shared" si="0"/>
        <v>131.52999999999997</v>
      </c>
      <c r="H14" s="30">
        <f t="shared" si="3"/>
        <v>122.83506944444444</v>
      </c>
      <c r="I14" s="104">
        <f t="shared" si="4"/>
        <v>-444.47</v>
      </c>
      <c r="J14" s="104">
        <f t="shared" si="5"/>
        <v>61.41753472222222</v>
      </c>
      <c r="K14" s="106">
        <v>2400.61</v>
      </c>
      <c r="L14" s="106">
        <f t="shared" si="1"/>
        <v>-1693.0800000000002</v>
      </c>
      <c r="M14" s="207">
        <f t="shared" si="2"/>
        <v>0.29472925631402014</v>
      </c>
      <c r="N14" s="105">
        <f>E14-травень!E14</f>
        <v>96</v>
      </c>
      <c r="O14" s="144">
        <f>F14-травень!F14</f>
        <v>99.88</v>
      </c>
      <c r="P14" s="106">
        <f t="shared" si="6"/>
        <v>3.8799999999999955</v>
      </c>
      <c r="Q14" s="104">
        <f t="shared" si="7"/>
        <v>104.04166666666666</v>
      </c>
      <c r="R14" s="37"/>
      <c r="S14" s="100">
        <f t="shared" si="8"/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E15-травень!E15</f>
        <v>0</v>
      </c>
      <c r="O15" s="168">
        <f>F15-травень!F15</f>
        <v>0</v>
      </c>
      <c r="P15" s="161">
        <f t="shared" si="6"/>
        <v>0</v>
      </c>
      <c r="Q15" s="158"/>
      <c r="R15" s="37">
        <v>0</v>
      </c>
      <c r="S15" s="100">
        <f t="shared" si="8"/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E16-травень!E16</f>
        <v>0</v>
      </c>
      <c r="O16" s="168">
        <f>F16-травень!F16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0.17</v>
      </c>
      <c r="L17" s="161">
        <f t="shared" si="1"/>
        <v>0.31999999999999995</v>
      </c>
      <c r="M17" s="208">
        <f t="shared" si="2"/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 t="shared" si="8"/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E18-травень!E18</f>
        <v>0</v>
      </c>
      <c r="O18" s="168">
        <f>F18-травень!F18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 t="shared" si="0"/>
        <v>-5639.889999999999</v>
      </c>
      <c r="H19" s="164">
        <f t="shared" si="3"/>
        <v>90.53709731543624</v>
      </c>
      <c r="I19" s="165">
        <f t="shared" si="4"/>
        <v>-76039.89</v>
      </c>
      <c r="J19" s="165">
        <f t="shared" si="5"/>
        <v>41.507776923076925</v>
      </c>
      <c r="K19" s="161">
        <v>44512.02</v>
      </c>
      <c r="L19" s="167">
        <f t="shared" si="1"/>
        <v>9448.090000000004</v>
      </c>
      <c r="M19" s="213">
        <f t="shared" si="2"/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 t="shared" si="6"/>
        <v>-2234.979999999996</v>
      </c>
      <c r="Q19" s="165">
        <f t="shared" si="7"/>
        <v>80.04482142857147</v>
      </c>
      <c r="R19" s="294">
        <v>8800</v>
      </c>
      <c r="S19" s="100">
        <f t="shared" si="8"/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 t="shared" si="0"/>
        <v>-4664.740000000002</v>
      </c>
      <c r="H20" s="195">
        <f t="shared" si="3"/>
        <v>87.00629526462396</v>
      </c>
      <c r="I20" s="254">
        <f t="shared" si="4"/>
        <v>-45264.740000000005</v>
      </c>
      <c r="J20" s="254">
        <f t="shared" si="5"/>
        <v>40.83040522875817</v>
      </c>
      <c r="K20" s="255">
        <v>44512.02</v>
      </c>
      <c r="L20" s="166">
        <f t="shared" si="1"/>
        <v>-13276.759999999998</v>
      </c>
      <c r="M20" s="256">
        <f t="shared" si="2"/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 t="shared" si="6"/>
        <v>-1143.2300000000032</v>
      </c>
      <c r="Q20" s="254">
        <f t="shared" si="7"/>
        <v>81.70831999999994</v>
      </c>
      <c r="R20" s="104">
        <v>4450</v>
      </c>
      <c r="S20" s="104">
        <f t="shared" si="8"/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 t="shared" si="0"/>
        <v>-151.67000000000007</v>
      </c>
      <c r="H21" s="195"/>
      <c r="I21" s="254">
        <f t="shared" si="4"/>
        <v>-5951.67</v>
      </c>
      <c r="J21" s="254">
        <f t="shared" si="5"/>
        <v>44.376915887850465</v>
      </c>
      <c r="K21" s="255">
        <v>0</v>
      </c>
      <c r="L21" s="166">
        <f t="shared" si="1"/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 t="shared" si="6"/>
        <v>-295.3600000000001</v>
      </c>
      <c r="Q21" s="254"/>
      <c r="R21" s="104">
        <v>900</v>
      </c>
      <c r="S21" s="104">
        <f t="shared" si="8"/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 t="shared" si="0"/>
        <v>-823.4799999999996</v>
      </c>
      <c r="H22" s="195"/>
      <c r="I22" s="254">
        <f t="shared" si="4"/>
        <v>-24823.48</v>
      </c>
      <c r="J22" s="254">
        <f t="shared" si="5"/>
        <v>42.001214953271024</v>
      </c>
      <c r="K22" s="255">
        <v>0</v>
      </c>
      <c r="L22" s="166">
        <f t="shared" si="1"/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 t="shared" si="6"/>
        <v>-796.3999999999996</v>
      </c>
      <c r="Q22" s="254"/>
      <c r="R22" s="104">
        <v>3800</v>
      </c>
      <c r="S22" s="104">
        <f t="shared" si="8"/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 t="shared" si="0"/>
        <v>4179.520000000019</v>
      </c>
      <c r="H23" s="157">
        <f t="shared" si="3"/>
        <v>102.09368985585945</v>
      </c>
      <c r="I23" s="158">
        <f t="shared" si="4"/>
        <v>-197325.97999999998</v>
      </c>
      <c r="J23" s="158">
        <f t="shared" si="5"/>
        <v>50.80748614975541</v>
      </c>
      <c r="K23" s="158">
        <v>159141.65</v>
      </c>
      <c r="L23" s="161">
        <f t="shared" si="1"/>
        <v>44662.47</v>
      </c>
      <c r="M23" s="209">
        <f t="shared" si="2"/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 t="shared" si="6"/>
        <v>2926.3399999999965</v>
      </c>
      <c r="Q23" s="158">
        <f t="shared" si="7"/>
        <v>112.96446925394292</v>
      </c>
      <c r="R23" s="288">
        <f>R24+R33+R35</f>
        <v>22714</v>
      </c>
      <c r="S23" s="294">
        <f t="shared" si="8"/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 t="shared" si="0"/>
        <v>720.7700000000041</v>
      </c>
      <c r="H24" s="157">
        <f t="shared" si="3"/>
        <v>100.73046398757917</v>
      </c>
      <c r="I24" s="158">
        <f t="shared" si="4"/>
        <v>-107227.33</v>
      </c>
      <c r="J24" s="158">
        <f t="shared" si="5"/>
        <v>48.10434079788599</v>
      </c>
      <c r="K24" s="158">
        <v>85994.38</v>
      </c>
      <c r="L24" s="161">
        <f t="shared" si="1"/>
        <v>13399.289999999994</v>
      </c>
      <c r="M24" s="209">
        <f t="shared" si="2"/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 t="shared" si="6"/>
        <v>1696.5399999999936</v>
      </c>
      <c r="Q24" s="158">
        <f t="shared" si="7"/>
        <v>110.62662073285307</v>
      </c>
      <c r="R24" s="293">
        <f>R25+R28+R29</f>
        <v>15007</v>
      </c>
      <c r="S24" s="293">
        <f t="shared" si="8"/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 t="shared" si="0"/>
        <v>696.4300000000003</v>
      </c>
      <c r="H25" s="173">
        <f t="shared" si="3"/>
        <v>106.70346805786835</v>
      </c>
      <c r="I25" s="174">
        <f t="shared" si="4"/>
        <v>-11723.47</v>
      </c>
      <c r="J25" s="174">
        <f t="shared" si="5"/>
        <v>48.60156078740848</v>
      </c>
      <c r="K25" s="175">
        <v>9233.59</v>
      </c>
      <c r="L25" s="166">
        <f t="shared" si="1"/>
        <v>1851.9400000000005</v>
      </c>
      <c r="M25" s="215">
        <f t="shared" si="2"/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 t="shared" si="6"/>
        <v>144.48999999999978</v>
      </c>
      <c r="Q25" s="174">
        <f t="shared" si="7"/>
        <v>117.94906832298133</v>
      </c>
      <c r="R25" s="104">
        <v>800</v>
      </c>
      <c r="S25" s="104">
        <f t="shared" si="8"/>
        <v>149.48999999999978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 t="shared" si="0"/>
        <v>-496.74</v>
      </c>
      <c r="H26" s="199">
        <f t="shared" si="3"/>
        <v>30.036619718309858</v>
      </c>
      <c r="I26" s="200">
        <f t="shared" si="4"/>
        <v>-1609.04</v>
      </c>
      <c r="J26" s="200">
        <f t="shared" si="5"/>
        <v>11.702793173462108</v>
      </c>
      <c r="K26" s="200">
        <v>342.1</v>
      </c>
      <c r="L26" s="200">
        <f t="shared" si="1"/>
        <v>-128.84000000000003</v>
      </c>
      <c r="M26" s="228">
        <f t="shared" si="2"/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 t="shared" si="6"/>
        <v>-89.01000000000002</v>
      </c>
      <c r="Q26" s="200">
        <f t="shared" si="7"/>
        <v>15.22857142857141</v>
      </c>
      <c r="R26" s="104"/>
      <c r="S26" s="104">
        <f t="shared" si="8"/>
        <v>15.98999999999998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 t="shared" si="0"/>
        <v>1193.1599999999999</v>
      </c>
      <c r="H27" s="199">
        <f t="shared" si="3"/>
        <v>112.32717917988242</v>
      </c>
      <c r="I27" s="200">
        <f t="shared" si="4"/>
        <v>-10114.44</v>
      </c>
      <c r="J27" s="200">
        <f t="shared" si="5"/>
        <v>51.80547680197458</v>
      </c>
      <c r="K27" s="200">
        <v>8891.49</v>
      </c>
      <c r="L27" s="200">
        <f t="shared" si="1"/>
        <v>1980.7700000000004</v>
      </c>
      <c r="M27" s="228">
        <f t="shared" si="2"/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 t="shared" si="6"/>
        <v>233.48999999999978</v>
      </c>
      <c r="Q27" s="200">
        <f t="shared" si="7"/>
        <v>133.35571428571424</v>
      </c>
      <c r="R27" s="104"/>
      <c r="S27" s="104">
        <f t="shared" si="8"/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 t="shared" si="0"/>
        <v>-223.03000000000003</v>
      </c>
      <c r="H28" s="173">
        <f t="shared" si="3"/>
        <v>-66.68908819133034</v>
      </c>
      <c r="I28" s="174">
        <f t="shared" si="4"/>
        <v>-909.23</v>
      </c>
      <c r="J28" s="174">
        <f t="shared" si="5"/>
        <v>-10.88170731707317</v>
      </c>
      <c r="K28" s="174">
        <v>435.05</v>
      </c>
      <c r="L28" s="174">
        <f t="shared" si="1"/>
        <v>-524.28</v>
      </c>
      <c r="M28" s="212">
        <f t="shared" si="2"/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 t="shared" si="6"/>
        <v>-48.75000000000001</v>
      </c>
      <c r="Q28" s="174">
        <f>O28/N28*100</f>
        <v>-875.0000000000002</v>
      </c>
      <c r="R28" s="104">
        <v>-25</v>
      </c>
      <c r="S28" s="104">
        <f t="shared" si="8"/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 t="shared" si="0"/>
        <v>247.36999999999534</v>
      </c>
      <c r="H29" s="173">
        <f t="shared" si="3"/>
        <v>100.28062393647193</v>
      </c>
      <c r="I29" s="174">
        <f t="shared" si="4"/>
        <v>-94594.63</v>
      </c>
      <c r="J29" s="174">
        <f t="shared" si="5"/>
        <v>48.3066855381656</v>
      </c>
      <c r="K29" s="175">
        <v>76325.75</v>
      </c>
      <c r="L29" s="175">
        <f t="shared" si="1"/>
        <v>12071.619999999995</v>
      </c>
      <c r="M29" s="211">
        <f t="shared" si="2"/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 t="shared" si="6"/>
        <v>1600.7999999999884</v>
      </c>
      <c r="Q29" s="174">
        <f>O29/N29*100</f>
        <v>110.56285054437471</v>
      </c>
      <c r="R29" s="104">
        <v>14232</v>
      </c>
      <c r="S29" s="104">
        <f t="shared" si="8"/>
        <v>2523.7999999999884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 t="shared" si="0"/>
        <v>3877.9500000000007</v>
      </c>
      <c r="H30" s="199">
        <f t="shared" si="3"/>
        <v>114.48076923076924</v>
      </c>
      <c r="I30" s="200">
        <f t="shared" si="4"/>
        <v>-26875.05</v>
      </c>
      <c r="J30" s="200">
        <f t="shared" si="5"/>
        <v>53.28759146924374</v>
      </c>
      <c r="K30" s="200">
        <v>23736.85</v>
      </c>
      <c r="L30" s="200">
        <f t="shared" si="1"/>
        <v>6921.100000000002</v>
      </c>
      <c r="M30" s="228">
        <f t="shared" si="2"/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 t="shared" si="6"/>
        <v>1806.7099999999991</v>
      </c>
      <c r="Q30" s="200">
        <f>O30/N30*100</f>
        <v>138.4406382978723</v>
      </c>
      <c r="R30" s="107"/>
      <c r="S30" s="100">
        <f t="shared" si="8"/>
        <v>6506.709999999999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 t="shared" si="0"/>
        <v>-3630.5800000000017</v>
      </c>
      <c r="H31" s="199">
        <f t="shared" si="3"/>
        <v>94.08411275867688</v>
      </c>
      <c r="I31" s="200">
        <f t="shared" si="4"/>
        <v>-67719.58</v>
      </c>
      <c r="J31" s="200">
        <f t="shared" si="5"/>
        <v>46.022541228608546</v>
      </c>
      <c r="K31" s="200">
        <v>52588.89</v>
      </c>
      <c r="L31" s="200">
        <f t="shared" si="1"/>
        <v>5150.529999999999</v>
      </c>
      <c r="M31" s="228">
        <f t="shared" si="2"/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 t="shared" si="6"/>
        <v>-205.9100000000035</v>
      </c>
      <c r="Q31" s="200">
        <f>O31/N31*100</f>
        <v>98.03051171688185</v>
      </c>
      <c r="R31" s="107"/>
      <c r="S31" s="100">
        <f t="shared" si="8"/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E32-травень!E32</f>
        <v>0</v>
      </c>
      <c r="O32" s="160">
        <f>F32-травень!F32</f>
        <v>0</v>
      </c>
      <c r="P32" s="161">
        <f t="shared" si="6"/>
        <v>0</v>
      </c>
      <c r="Q32" s="158"/>
      <c r="R32" s="293"/>
      <c r="S32" s="293">
        <f t="shared" si="8"/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 t="shared" si="0"/>
        <v>33.230000000000004</v>
      </c>
      <c r="H33" s="157">
        <f t="shared" si="3"/>
        <v>172.23913043478262</v>
      </c>
      <c r="I33" s="158">
        <f t="shared" si="4"/>
        <v>-35.769999999999996</v>
      </c>
      <c r="J33" s="158">
        <f t="shared" si="5"/>
        <v>68.89565217391305</v>
      </c>
      <c r="K33" s="158">
        <v>55.62</v>
      </c>
      <c r="L33" s="158">
        <f t="shared" si="1"/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 t="shared" si="6"/>
        <v>-3</v>
      </c>
      <c r="Q33" s="158">
        <f>O33/N33*100</f>
        <v>57.14285714285714</v>
      </c>
      <c r="R33" s="293">
        <v>7</v>
      </c>
      <c r="S33" s="293">
        <f t="shared" si="8"/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 t="shared" si="0"/>
        <v>-31.32</v>
      </c>
      <c r="H34" s="157"/>
      <c r="I34" s="158">
        <f t="shared" si="4"/>
        <v>-31.32</v>
      </c>
      <c r="J34" s="158"/>
      <c r="K34" s="158">
        <v>-125.04</v>
      </c>
      <c r="L34" s="158">
        <f t="shared" si="1"/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 t="shared" si="6"/>
        <v>-4.550000000000001</v>
      </c>
      <c r="Q34" s="158"/>
      <c r="R34" s="293"/>
      <c r="S34" s="293">
        <f t="shared" si="8"/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 t="shared" si="0"/>
        <v>3456.6399999999994</v>
      </c>
      <c r="H35" s="164">
        <f t="shared" si="3"/>
        <v>103.42561421208119</v>
      </c>
      <c r="I35" s="165">
        <f t="shared" si="4"/>
        <v>-90031.76000000001</v>
      </c>
      <c r="J35" s="165">
        <f t="shared" si="5"/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 t="shared" si="6"/>
        <v>1237.3499999999913</v>
      </c>
      <c r="Q35" s="165">
        <f>O35/N35*100</f>
        <v>118.74772727272713</v>
      </c>
      <c r="R35" s="293">
        <v>7700</v>
      </c>
      <c r="S35" s="293">
        <f t="shared" si="8"/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E36-травень!E36</f>
        <v>0</v>
      </c>
      <c r="O36" s="144">
        <f>F36-травень!F36</f>
        <v>0</v>
      </c>
      <c r="P36" s="106">
        <f t="shared" si="6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 t="shared" si="0"/>
        <v>268.0600000000013</v>
      </c>
      <c r="H37" s="105">
        <f t="shared" si="3"/>
        <v>101.33896103896105</v>
      </c>
      <c r="I37" s="104">
        <f t="shared" si="4"/>
        <v>-20711.94</v>
      </c>
      <c r="J37" s="104">
        <f t="shared" si="5"/>
        <v>49.483073170731714</v>
      </c>
      <c r="K37" s="127">
        <v>18313.06</v>
      </c>
      <c r="L37" s="127">
        <f t="shared" si="1"/>
        <v>1975</v>
      </c>
      <c r="M37" s="216">
        <f t="shared" si="9"/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 t="shared" si="6"/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 t="shared" si="0"/>
        <v>3190.770000000004</v>
      </c>
      <c r="H38" s="105">
        <f t="shared" si="3"/>
        <v>103.94604254266635</v>
      </c>
      <c r="I38" s="104">
        <f t="shared" si="4"/>
        <v>-69288.33</v>
      </c>
      <c r="J38" s="104">
        <f t="shared" si="5"/>
        <v>54.813658095032515</v>
      </c>
      <c r="K38" s="127">
        <v>54889.45</v>
      </c>
      <c r="L38" s="127">
        <f t="shared" si="1"/>
        <v>29161.320000000007</v>
      </c>
      <c r="M38" s="216">
        <f t="shared" si="9"/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 t="shared" si="6"/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 t="shared" si="0"/>
        <v>-2.1999999999999993</v>
      </c>
      <c r="H39" s="105">
        <f t="shared" si="3"/>
        <v>91.43968871595331</v>
      </c>
      <c r="I39" s="104">
        <f t="shared" si="4"/>
        <v>-31.5</v>
      </c>
      <c r="J39" s="104">
        <f t="shared" si="5"/>
        <v>42.72727272727273</v>
      </c>
      <c r="K39" s="127">
        <v>14.01</v>
      </c>
      <c r="L39" s="127">
        <f t="shared" si="1"/>
        <v>9.49</v>
      </c>
      <c r="M39" s="216">
        <f t="shared" si="9"/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 t="shared" si="6"/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 t="shared" si="0"/>
        <v>0.69</v>
      </c>
      <c r="H40" s="30"/>
      <c r="I40" s="37">
        <f t="shared" si="4"/>
        <v>0.69</v>
      </c>
      <c r="J40" s="37"/>
      <c r="K40" s="119">
        <v>0</v>
      </c>
      <c r="L40" s="119">
        <f t="shared" si="1"/>
        <v>0.69</v>
      </c>
      <c r="M40" s="217" t="e">
        <f t="shared" si="9"/>
        <v>#DIV/0!</v>
      </c>
      <c r="N40" s="157">
        <f>E40-травень!E40</f>
        <v>0</v>
      </c>
      <c r="O40" s="160">
        <f>F40-травень!F40</f>
        <v>0.33999999999999997</v>
      </c>
      <c r="P40" s="36">
        <f t="shared" si="6"/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 t="shared" si="1"/>
        <v>4797.800000000007</v>
      </c>
      <c r="M41" s="205">
        <f t="shared" si="9"/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 aca="true" t="shared" si="11" ref="Q42:Q65">O42/N42*100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 aca="true" t="shared" si="12" ref="G43:G66">F43-E43</f>
        <v>-346.3600000000006</v>
      </c>
      <c r="H43" s="164">
        <f t="shared" si="10"/>
        <v>97.47182481751825</v>
      </c>
      <c r="I43" s="165">
        <f aca="true" t="shared" si="13" ref="I43:I66">F43-D43</f>
        <v>-16646.36</v>
      </c>
      <c r="J43" s="165">
        <f>F43/D43*100</f>
        <v>44.51213333333333</v>
      </c>
      <c r="K43" s="165">
        <v>13895.81</v>
      </c>
      <c r="L43" s="165">
        <f t="shared" si="1"/>
        <v>-542.1700000000001</v>
      </c>
      <c r="M43" s="218"/>
      <c r="N43" s="164">
        <f>E43-травень!E43</f>
        <v>2800</v>
      </c>
      <c r="O43" s="168">
        <f>F43-травень!F43</f>
        <v>2874.4799999999996</v>
      </c>
      <c r="P43" s="167">
        <f aca="true" t="shared" si="14" ref="P43:P66">O43-N43</f>
        <v>74.47999999999956</v>
      </c>
      <c r="Q43" s="165">
        <f t="shared" si="11"/>
        <v>102.65999999999997</v>
      </c>
      <c r="R43" s="37">
        <v>2874.5</v>
      </c>
      <c r="S43" s="37">
        <f aca="true" t="shared" si="15" ref="S43:S66">O43-R43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 t="shared" si="12"/>
        <v>80.8</v>
      </c>
      <c r="H44" s="164">
        <f>F44/E44*100</f>
        <v>467.2727272727273</v>
      </c>
      <c r="I44" s="165">
        <f t="shared" si="13"/>
        <v>62.8</v>
      </c>
      <c r="J44" s="165">
        <f aca="true" t="shared" si="16" ref="J44:J65">F44/D44*100</f>
        <v>257</v>
      </c>
      <c r="K44" s="165">
        <v>28.07</v>
      </c>
      <c r="L44" s="165">
        <f t="shared" si="1"/>
        <v>74.72999999999999</v>
      </c>
      <c r="M44" s="218">
        <f aca="true" t="shared" si="17" ref="M44:M66">F44/K44</f>
        <v>3.6622728892055574</v>
      </c>
      <c r="N44" s="164">
        <f>E44-травень!E44</f>
        <v>1</v>
      </c>
      <c r="O44" s="168">
        <f>F44-травень!F44</f>
        <v>10</v>
      </c>
      <c r="P44" s="167">
        <f t="shared" si="14"/>
        <v>9</v>
      </c>
      <c r="Q44" s="165">
        <f t="shared" si="11"/>
        <v>1000</v>
      </c>
      <c r="R44" s="37">
        <v>10</v>
      </c>
      <c r="S44" s="37">
        <f t="shared" si="15"/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E45-травень!E45</f>
        <v>0</v>
      </c>
      <c r="O45" s="168">
        <f>F45-травень!F45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 t="shared" si="12"/>
        <v>373.53</v>
      </c>
      <c r="H46" s="164">
        <f t="shared" si="10"/>
        <v>391.8203125</v>
      </c>
      <c r="I46" s="165">
        <f t="shared" si="13"/>
        <v>241.52999999999997</v>
      </c>
      <c r="J46" s="165">
        <f t="shared" si="16"/>
        <v>192.89615384615385</v>
      </c>
      <c r="K46" s="165">
        <v>60.97</v>
      </c>
      <c r="L46" s="165">
        <f t="shared" si="1"/>
        <v>440.55999999999995</v>
      </c>
      <c r="M46" s="218">
        <f t="shared" si="17"/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 t="shared" si="14"/>
        <v>37.26999999999998</v>
      </c>
      <c r="Q46" s="165">
        <f t="shared" si="11"/>
        <v>269.4090909090908</v>
      </c>
      <c r="R46" s="37">
        <v>70</v>
      </c>
      <c r="S46" s="37">
        <f t="shared" si="15"/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 t="shared" si="12"/>
        <v>23.410000000000004</v>
      </c>
      <c r="H47" s="164">
        <f t="shared" si="10"/>
        <v>149.18067226890756</v>
      </c>
      <c r="I47" s="165">
        <f t="shared" si="13"/>
        <v>-26.489999999999995</v>
      </c>
      <c r="J47" s="165">
        <f t="shared" si="16"/>
        <v>72.83076923076923</v>
      </c>
      <c r="K47" s="165">
        <v>13.6</v>
      </c>
      <c r="L47" s="165">
        <f t="shared" si="1"/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 t="shared" si="14"/>
        <v>63.199999999999996</v>
      </c>
      <c r="Q47" s="165">
        <f t="shared" si="11"/>
        <v>1029.4117647058818</v>
      </c>
      <c r="R47" s="37">
        <v>0</v>
      </c>
      <c r="S47" s="37">
        <f t="shared" si="15"/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 t="shared" si="12"/>
        <v>168.91999999999996</v>
      </c>
      <c r="H48" s="164">
        <f t="shared" si="10"/>
        <v>136.72173913043477</v>
      </c>
      <c r="I48" s="165">
        <f t="shared" si="13"/>
        <v>-101.08000000000004</v>
      </c>
      <c r="J48" s="165">
        <f t="shared" si="16"/>
        <v>86.15342465753425</v>
      </c>
      <c r="K48" s="165">
        <v>168.08</v>
      </c>
      <c r="L48" s="165">
        <f t="shared" si="1"/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 t="shared" si="14"/>
        <v>63.789999999999964</v>
      </c>
      <c r="Q48" s="165">
        <f t="shared" si="11"/>
        <v>206.3166666666666</v>
      </c>
      <c r="R48" s="37">
        <v>100</v>
      </c>
      <c r="S48" s="37">
        <f t="shared" si="15"/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 t="shared" si="15"/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 t="shared" si="12"/>
        <v>2324.3099999999995</v>
      </c>
      <c r="H50" s="164">
        <f t="shared" si="10"/>
        <v>138.4819536423841</v>
      </c>
      <c r="I50" s="165">
        <f t="shared" si="13"/>
        <v>-2635.6900000000005</v>
      </c>
      <c r="J50" s="165">
        <f t="shared" si="16"/>
        <v>76.03918181818182</v>
      </c>
      <c r="K50" s="165">
        <v>5001.06</v>
      </c>
      <c r="L50" s="165">
        <f t="shared" si="1"/>
        <v>3363.249999999999</v>
      </c>
      <c r="M50" s="218">
        <f t="shared" si="17"/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 t="shared" si="14"/>
        <v>1214.039999999999</v>
      </c>
      <c r="Q50" s="165">
        <f t="shared" si="11"/>
        <v>234.89333333333323</v>
      </c>
      <c r="R50" s="37">
        <v>1400</v>
      </c>
      <c r="S50" s="37">
        <f t="shared" si="15"/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 t="shared" si="12"/>
        <v>112.81</v>
      </c>
      <c r="H51" s="164">
        <f t="shared" si="10"/>
        <v>175.20666666666668</v>
      </c>
      <c r="I51" s="165">
        <f t="shared" si="13"/>
        <v>-47.19</v>
      </c>
      <c r="J51" s="165">
        <f t="shared" si="16"/>
        <v>84.77741935483871</v>
      </c>
      <c r="K51" s="165">
        <v>68.92</v>
      </c>
      <c r="L51" s="165">
        <f t="shared" si="1"/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 t="shared" si="14"/>
        <v>21.460000000000008</v>
      </c>
      <c r="Q51" s="165">
        <f t="shared" si="11"/>
        <v>185.84000000000003</v>
      </c>
      <c r="R51" s="37">
        <v>40</v>
      </c>
      <c r="S51" s="37">
        <f t="shared" si="15"/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 t="shared" si="12"/>
        <v>7.719999999999999</v>
      </c>
      <c r="H52" s="164">
        <f t="shared" si="10"/>
        <v>170.18181818181816</v>
      </c>
      <c r="I52" s="165">
        <f t="shared" si="13"/>
        <v>-1.2800000000000011</v>
      </c>
      <c r="J52" s="165">
        <f t="shared" si="16"/>
        <v>93.6</v>
      </c>
      <c r="K52" s="165">
        <v>8.54</v>
      </c>
      <c r="L52" s="165">
        <f t="shared" si="1"/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 t="shared" si="14"/>
        <v>2.3999999999999986</v>
      </c>
      <c r="Q52" s="165">
        <f t="shared" si="11"/>
        <v>159.99999999999997</v>
      </c>
      <c r="R52" s="37">
        <v>4</v>
      </c>
      <c r="S52" s="37">
        <f t="shared" si="15"/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 t="shared" si="12"/>
        <v>-377.6500000000001</v>
      </c>
      <c r="H53" s="164">
        <f t="shared" si="10"/>
        <v>89.63923182441701</v>
      </c>
      <c r="I53" s="165">
        <f t="shared" si="13"/>
        <v>-4007.65</v>
      </c>
      <c r="J53" s="165">
        <f t="shared" si="16"/>
        <v>44.912027491408935</v>
      </c>
      <c r="K53" s="165">
        <v>3928.05</v>
      </c>
      <c r="L53" s="165">
        <f t="shared" si="1"/>
        <v>-660.7000000000003</v>
      </c>
      <c r="M53" s="218">
        <f t="shared" si="17"/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 t="shared" si="14"/>
        <v>-58.970000000000255</v>
      </c>
      <c r="Q53" s="165">
        <f t="shared" si="11"/>
        <v>90.25289256198343</v>
      </c>
      <c r="R53" s="37">
        <v>550</v>
      </c>
      <c r="S53" s="37">
        <f t="shared" si="15"/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 t="shared" si="12"/>
        <v>-181.57999999999998</v>
      </c>
      <c r="H54" s="164">
        <f t="shared" si="10"/>
        <v>68.1438596491228</v>
      </c>
      <c r="I54" s="165">
        <f t="shared" si="13"/>
        <v>-811.5799999999999</v>
      </c>
      <c r="J54" s="165">
        <f t="shared" si="16"/>
        <v>32.36833333333333</v>
      </c>
      <c r="K54" s="165">
        <v>3094.63</v>
      </c>
      <c r="L54" s="165">
        <f t="shared" si="1"/>
        <v>-2706.21</v>
      </c>
      <c r="M54" s="218">
        <f t="shared" si="17"/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 t="shared" si="14"/>
        <v>-40.099999999999966</v>
      </c>
      <c r="Q54" s="165">
        <f t="shared" si="11"/>
        <v>57.789473684210556</v>
      </c>
      <c r="R54" s="37">
        <v>50</v>
      </c>
      <c r="S54" s="37">
        <f t="shared" si="15"/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 t="shared" si="12"/>
        <v>-147.47000000000003</v>
      </c>
      <c r="H55" s="30">
        <f t="shared" si="10"/>
        <v>69.27708333333332</v>
      </c>
      <c r="I55" s="104">
        <f t="shared" si="13"/>
        <v>-665.47</v>
      </c>
      <c r="J55" s="104">
        <f t="shared" si="16"/>
        <v>33.31963927855711</v>
      </c>
      <c r="K55" s="104">
        <v>420.67</v>
      </c>
      <c r="L55" s="104">
        <f>F55-K55</f>
        <v>-88.14000000000004</v>
      </c>
      <c r="M55" s="109">
        <f t="shared" si="17"/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 t="shared" si="14"/>
        <v>-37.85000000000002</v>
      </c>
      <c r="Q55" s="119">
        <f t="shared" si="11"/>
        <v>52.68749999999998</v>
      </c>
      <c r="R55" s="37"/>
      <c r="S55" s="37">
        <f t="shared" si="15"/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0.24</v>
      </c>
      <c r="L56" s="104">
        <f>F56-K56</f>
        <v>-0.09</v>
      </c>
      <c r="M56" s="109">
        <f t="shared" si="17"/>
        <v>0.625</v>
      </c>
      <c r="N56" s="105">
        <f>E56-травень!E56</f>
        <v>0</v>
      </c>
      <c r="O56" s="144">
        <f>F56-травень!F56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E57-травень!E57</f>
        <v>0</v>
      </c>
      <c r="O57" s="144">
        <f>F57-травень!F57</f>
        <v>0</v>
      </c>
      <c r="P57" s="106">
        <f t="shared" si="14"/>
        <v>0</v>
      </c>
      <c r="Q57" s="119"/>
      <c r="R57" s="37"/>
      <c r="S57" s="37">
        <f t="shared" si="15"/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 t="shared" si="12"/>
        <v>-34.26</v>
      </c>
      <c r="H58" s="30">
        <f t="shared" si="10"/>
        <v>61.93333333333334</v>
      </c>
      <c r="I58" s="104">
        <f t="shared" si="13"/>
        <v>-144.26</v>
      </c>
      <c r="J58" s="104">
        <f t="shared" si="16"/>
        <v>27.87</v>
      </c>
      <c r="K58" s="104">
        <v>2673.71</v>
      </c>
      <c r="L58" s="104">
        <f>F58-K58</f>
        <v>-2617.9700000000003</v>
      </c>
      <c r="M58" s="109">
        <f t="shared" si="17"/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 t="shared" si="14"/>
        <v>-2.259999999999998</v>
      </c>
      <c r="Q58" s="119">
        <f t="shared" si="11"/>
        <v>84.93333333333335</v>
      </c>
      <c r="R58" s="37"/>
      <c r="S58" s="37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E59-травень!E59</f>
        <v>0</v>
      </c>
      <c r="O59" s="168">
        <f>F59-травень!F59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 t="shared" si="12"/>
        <v>-25.220000000000255</v>
      </c>
      <c r="H60" s="164">
        <f t="shared" si="10"/>
        <v>99.48106995884774</v>
      </c>
      <c r="I60" s="165">
        <f t="shared" si="13"/>
        <v>-2515.2200000000003</v>
      </c>
      <c r="J60" s="165">
        <f t="shared" si="16"/>
        <v>65.77931972789115</v>
      </c>
      <c r="K60" s="165">
        <v>2709.14</v>
      </c>
      <c r="L60" s="165">
        <f aca="true" t="shared" si="18" ref="L60:L66">F60-K60</f>
        <v>2125.64</v>
      </c>
      <c r="M60" s="218">
        <f t="shared" si="17"/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 t="shared" si="14"/>
        <v>197.63999999999987</v>
      </c>
      <c r="Q60" s="165">
        <f t="shared" si="11"/>
        <v>132.93999999999997</v>
      </c>
      <c r="R60" s="37">
        <v>500</v>
      </c>
      <c r="S60" s="37">
        <f t="shared" si="15"/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 t="shared" si="18"/>
        <v>477.45000000000005</v>
      </c>
      <c r="M62" s="218">
        <f t="shared" si="17"/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 t="shared" si="15"/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E64-травень!E64</f>
        <v>0</v>
      </c>
      <c r="O64" s="168">
        <f>F64-травень!F64</f>
        <v>0</v>
      </c>
      <c r="P64" s="167">
        <f t="shared" si="14"/>
        <v>0</v>
      </c>
      <c r="Q64" s="165"/>
      <c r="R64" s="37">
        <v>0</v>
      </c>
      <c r="S64" s="37">
        <f t="shared" si="15"/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 t="shared" si="12"/>
        <v>17.78</v>
      </c>
      <c r="H65" s="164">
        <f t="shared" si="10"/>
        <v>333.94736842105266</v>
      </c>
      <c r="I65" s="165">
        <f t="shared" si="13"/>
        <v>10.379999999999999</v>
      </c>
      <c r="J65" s="165">
        <f t="shared" si="16"/>
        <v>169.2</v>
      </c>
      <c r="K65" s="165">
        <v>13.52</v>
      </c>
      <c r="L65" s="165">
        <f t="shared" si="18"/>
        <v>11.86</v>
      </c>
      <c r="M65" s="218">
        <f t="shared" si="17"/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 t="shared" si="14"/>
        <v>1.8299999999999983</v>
      </c>
      <c r="Q65" s="165">
        <f t="shared" si="11"/>
        <v>252.49999999999994</v>
      </c>
      <c r="R65" s="37">
        <v>3.2</v>
      </c>
      <c r="S65" s="37">
        <f t="shared" si="15"/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0.4</v>
      </c>
      <c r="L66" s="165">
        <f t="shared" si="18"/>
        <v>-5.65</v>
      </c>
      <c r="M66" s="218">
        <f t="shared" si="17"/>
        <v>-13.125</v>
      </c>
      <c r="N66" s="164">
        <f>E66-травень!E66</f>
        <v>0</v>
      </c>
      <c r="O66" s="168">
        <f>F66-травень!F66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 aca="true" t="shared" si="22" ref="P75:P89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 t="shared" si="19"/>
        <v>-8996.28</v>
      </c>
      <c r="H76" s="164">
        <f>F76/E76*100</f>
        <v>0.04133333333333334</v>
      </c>
      <c r="I76" s="167">
        <f t="shared" si="20"/>
        <v>-104202.31</v>
      </c>
      <c r="J76" s="167">
        <f>F76/D76*100</f>
        <v>0.0035698509961467682</v>
      </c>
      <c r="K76" s="167">
        <v>1042.02</v>
      </c>
      <c r="L76" s="167">
        <f t="shared" si="21"/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 t="shared" si="22"/>
        <v>-4496.41</v>
      </c>
      <c r="Q76" s="167">
        <f>O76/N76*100</f>
        <v>0.0797777777777778</v>
      </c>
      <c r="R76" s="38">
        <v>0</v>
      </c>
      <c r="S76" s="38">
        <f aca="true" t="shared" si="23" ref="S76:S87">O76-R76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 t="shared" si="19"/>
        <v>-14012.85</v>
      </c>
      <c r="H77" s="164">
        <f>F77/E77*100</f>
        <v>10.346449136276393</v>
      </c>
      <c r="I77" s="167">
        <f t="shared" si="20"/>
        <v>-52382.85</v>
      </c>
      <c r="J77" s="167">
        <f>F77/D77*100</f>
        <v>2.9947222222222223</v>
      </c>
      <c r="K77" s="167">
        <v>936.04</v>
      </c>
      <c r="L77" s="167">
        <f t="shared" si="21"/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 t="shared" si="22"/>
        <v>-2287.75</v>
      </c>
      <c r="Q77" s="167">
        <f>O77/N77*100</f>
        <v>36.45138888888889</v>
      </c>
      <c r="R77" s="38">
        <v>200</v>
      </c>
      <c r="S77" s="38">
        <f t="shared" si="23"/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 t="shared" si="19"/>
        <v>-9631.779999999999</v>
      </c>
      <c r="H78" s="164">
        <f>F78/E78*100</f>
        <v>40.544567901234565</v>
      </c>
      <c r="I78" s="167">
        <f t="shared" si="20"/>
        <v>-72431.78</v>
      </c>
      <c r="J78" s="167">
        <f>F78/D78*100</f>
        <v>8.31420253164557</v>
      </c>
      <c r="K78" s="167">
        <v>9374.51</v>
      </c>
      <c r="L78" s="167">
        <f t="shared" si="21"/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 t="shared" si="22"/>
        <v>-1867.1999999999998</v>
      </c>
      <c r="Q78" s="167">
        <f>O78/N78*100</f>
        <v>51.5012987012987</v>
      </c>
      <c r="R78" s="38">
        <v>1500</v>
      </c>
      <c r="S78" s="38">
        <f t="shared" si="23"/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 t="shared" si="19"/>
        <v>1</v>
      </c>
      <c r="H79" s="164">
        <f>F79/E79*100</f>
        <v>116.66666666666667</v>
      </c>
      <c r="I79" s="167">
        <f t="shared" si="20"/>
        <v>-5</v>
      </c>
      <c r="J79" s="167">
        <f>F79/D79*100</f>
        <v>58.333333333333336</v>
      </c>
      <c r="K79" s="167">
        <v>6</v>
      </c>
      <c r="L79" s="167">
        <f t="shared" si="21"/>
        <v>1</v>
      </c>
      <c r="M79" s="209"/>
      <c r="N79" s="164">
        <f>E79-травень!E79</f>
        <v>1</v>
      </c>
      <c r="O79" s="168">
        <f>F79-травень!F79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 t="shared" si="19"/>
        <v>-32639.91</v>
      </c>
      <c r="H80" s="186">
        <f>F80/E80*100</f>
        <v>20.070746400235087</v>
      </c>
      <c r="I80" s="187">
        <f t="shared" si="20"/>
        <v>-229021.94</v>
      </c>
      <c r="J80" s="187">
        <f>F80/D80*100</f>
        <v>3.4550872882638815</v>
      </c>
      <c r="K80" s="187">
        <v>11358.57</v>
      </c>
      <c r="L80" s="187">
        <f t="shared" si="21"/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 t="shared" si="22"/>
        <v>-8651.36</v>
      </c>
      <c r="Q80" s="187">
        <f>O80/N80*100</f>
        <v>27.609739770730485</v>
      </c>
      <c r="R80" s="39">
        <f>SUM(R76:R79)</f>
        <v>1701</v>
      </c>
      <c r="S80" s="39">
        <f t="shared" si="23"/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 t="shared" si="19"/>
        <v>31.310000000000002</v>
      </c>
      <c r="H81" s="164"/>
      <c r="I81" s="167">
        <f t="shared" si="20"/>
        <v>-4.689999999999998</v>
      </c>
      <c r="J81" s="167"/>
      <c r="K81" s="167">
        <v>5.19</v>
      </c>
      <c r="L81" s="167">
        <f t="shared" si="21"/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 t="shared" si="22"/>
        <v>0.7100000000000009</v>
      </c>
      <c r="Q81" s="167"/>
      <c r="R81" s="38">
        <v>1</v>
      </c>
      <c r="S81" s="38">
        <f t="shared" si="23"/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 t="shared" si="22"/>
        <v>0</v>
      </c>
      <c r="Q82" s="190"/>
      <c r="R82" s="41"/>
      <c r="S82" s="38">
        <f t="shared" si="23"/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 t="shared" si="19"/>
        <v>597.0100000000002</v>
      </c>
      <c r="H83" s="164">
        <f>F83/E83*100</f>
        <v>113.24628355890837</v>
      </c>
      <c r="I83" s="167">
        <f t="shared" si="20"/>
        <v>-3255.99</v>
      </c>
      <c r="J83" s="167">
        <f>F83/D83*100</f>
        <v>61.05275119617225</v>
      </c>
      <c r="K83" s="167">
        <v>4890.44</v>
      </c>
      <c r="L83" s="167">
        <f t="shared" si="21"/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 t="shared" si="23"/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0.81</v>
      </c>
      <c r="L84" s="167">
        <f t="shared" si="21"/>
        <v>-0.76</v>
      </c>
      <c r="M84" s="209">
        <f aca="true" t="shared" si="24" ref="M84:M89">F84/K84</f>
        <v>0.06172839506172839</v>
      </c>
      <c r="N84" s="164">
        <f>E84-травень!E84</f>
        <v>0</v>
      </c>
      <c r="O84" s="168">
        <f>F84-травень!F84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 t="shared" si="20"/>
        <v>-3260.63</v>
      </c>
      <c r="J85" s="187">
        <f>F85/D85*100</f>
        <v>61.18297619047619</v>
      </c>
      <c r="K85" s="187">
        <v>4896.43</v>
      </c>
      <c r="L85" s="187">
        <f t="shared" si="21"/>
        <v>242.9399999999996</v>
      </c>
      <c r="M85" s="220">
        <f t="shared" si="24"/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 t="shared" si="23"/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 t="shared" si="19"/>
        <v>-15.56</v>
      </c>
      <c r="H86" s="164">
        <f>F86/E86*100</f>
        <v>33.21888412017167</v>
      </c>
      <c r="I86" s="167">
        <f t="shared" si="20"/>
        <v>-30.259999999999998</v>
      </c>
      <c r="J86" s="167">
        <f>F86/D86*100</f>
        <v>20.36842105263158</v>
      </c>
      <c r="K86" s="167">
        <v>18.25</v>
      </c>
      <c r="L86" s="167">
        <f t="shared" si="21"/>
        <v>-10.51</v>
      </c>
      <c r="M86" s="209">
        <f t="shared" si="24"/>
        <v>0.4241095890410959</v>
      </c>
      <c r="N86" s="164">
        <f>E86-травень!E86</f>
        <v>8</v>
      </c>
      <c r="O86" s="168">
        <f>F86-травень!F86</f>
        <v>0</v>
      </c>
      <c r="P86" s="167">
        <f t="shared" si="22"/>
        <v>-8</v>
      </c>
      <c r="Q86" s="167">
        <f>O86/N86</f>
        <v>0</v>
      </c>
      <c r="R86" s="38">
        <v>1.2</v>
      </c>
      <c r="S86" s="38">
        <f t="shared" si="23"/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 t="shared" si="24"/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 t="shared" si="22"/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 t="shared" si="24"/>
        <v>1.2854239630240816</v>
      </c>
      <c r="N89" s="192">
        <f>N67+N88</f>
        <v>121252</v>
      </c>
      <c r="O89" s="192">
        <f>O67+O88</f>
        <v>114382.17999999998</v>
      </c>
      <c r="P89" s="194">
        <f t="shared" si="22"/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03"/>
      <c r="P93" s="303"/>
    </row>
    <row r="94" spans="3:16" ht="15">
      <c r="C94" s="81">
        <v>42913</v>
      </c>
      <c r="D94" s="29">
        <v>9872.9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42912</v>
      </c>
      <c r="D95" s="29">
        <v>4876.1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225.52589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 aca="true" t="shared" si="25" ref="K103:P103">K43+K44+K46+K48+K50+K51+K52+K53+K54+K60+K64+K47</f>
        <v>29017.919999999995</v>
      </c>
      <c r="L103" s="29">
        <f t="shared" si="25"/>
        <v>2831.0099999999984</v>
      </c>
      <c r="M103" s="29">
        <f t="shared" si="25"/>
        <v>17.633620466447557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 t="shared" si="25"/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638799.2999999999</v>
      </c>
      <c r="F104" s="229">
        <f t="shared" si="26"/>
        <v>643547.53</v>
      </c>
      <c r="G104" s="29">
        <f t="shared" si="26"/>
        <v>4753.480000000138</v>
      </c>
      <c r="H104" s="230">
        <f>F104/E104</f>
        <v>1.0074330544820573</v>
      </c>
      <c r="I104" s="29">
        <f t="shared" si="26"/>
        <v>-713938.32</v>
      </c>
      <c r="J104" s="230">
        <f>F104/D104</f>
        <v>0.4740712701541837</v>
      </c>
      <c r="K104" s="29">
        <f t="shared" si="26"/>
        <v>29017.919999999995</v>
      </c>
      <c r="L104" s="29">
        <f t="shared" si="26"/>
        <v>2831.0099999999984</v>
      </c>
      <c r="M104" s="29">
        <f t="shared" si="26"/>
        <v>17.633620466447557</v>
      </c>
      <c r="N104" s="29">
        <f t="shared" si="26"/>
        <v>109292</v>
      </c>
      <c r="O104" s="229">
        <f t="shared" si="26"/>
        <v>111080.19999999998</v>
      </c>
      <c r="P104" s="29">
        <f t="shared" si="26"/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 aca="true" t="shared" si="27" ref="E105:R105">E67-E104</f>
        <v>0</v>
      </c>
      <c r="F105" s="29">
        <f t="shared" si="27"/>
        <v>1.1799999999348074</v>
      </c>
      <c r="G105" s="29">
        <f t="shared" si="27"/>
        <v>-4.07000000010521</v>
      </c>
      <c r="H105" s="230"/>
      <c r="I105" s="29">
        <f t="shared" si="27"/>
        <v>-4.070000000181608</v>
      </c>
      <c r="J105" s="230"/>
      <c r="K105" s="29">
        <f t="shared" si="27"/>
        <v>465768.07</v>
      </c>
      <c r="L105" s="29">
        <f t="shared" si="27"/>
        <v>145931.70999999996</v>
      </c>
      <c r="M105" s="29">
        <f t="shared" si="27"/>
        <v>-16.33295973027756</v>
      </c>
      <c r="N105" s="29">
        <f t="shared" si="27"/>
        <v>0</v>
      </c>
      <c r="O105" s="29">
        <f t="shared" si="27"/>
        <v>0.33999999999650754</v>
      </c>
      <c r="P105" s="29">
        <f t="shared" si="27"/>
        <v>0.3399999999899137</v>
      </c>
      <c r="Q105" s="29"/>
      <c r="R105" s="29">
        <f t="shared" si="27"/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 t="shared" si="29"/>
        <v>-29919.009999999776</v>
      </c>
      <c r="H124" s="277">
        <f t="shared" si="31"/>
        <v>97.61207127060196</v>
      </c>
      <c r="I124" s="279">
        <f t="shared" si="30"/>
        <v>-1675415.79</v>
      </c>
      <c r="J124" s="279">
        <f t="shared" si="32"/>
        <v>42.19562883559301</v>
      </c>
      <c r="Q124" s="243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207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201</v>
      </c>
      <c r="O3" s="331" t="s">
        <v>202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198</v>
      </c>
      <c r="F4" s="314" t="s">
        <v>33</v>
      </c>
      <c r="G4" s="305" t="s">
        <v>199</v>
      </c>
      <c r="H4" s="316" t="s">
        <v>200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208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204</v>
      </c>
      <c r="L5" s="309"/>
      <c r="M5" s="310"/>
      <c r="N5" s="317"/>
      <c r="O5" s="319"/>
      <c r="P5" s="306"/>
      <c r="Q5" s="307"/>
      <c r="R5" s="311" t="s">
        <v>203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 aca="true" t="shared" si="0" ref="G8:G40">F8-E8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 aca="true" t="shared" si="1" ref="L8:L54">F8-K8</f>
        <v>130101.00000000006</v>
      </c>
      <c r="M8" s="205">
        <f aca="true" t="shared" si="2" ref="M8:M31">F8/K8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 t="shared" si="0"/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 t="shared" si="1"/>
        <v>82530.66</v>
      </c>
      <c r="M9" s="206">
        <f t="shared" si="2"/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 t="shared" si="0"/>
        <v>4419.179999999993</v>
      </c>
      <c r="H10" s="30">
        <f aca="true" t="shared" si="3" ref="H10:H39">F10/E10*100</f>
        <v>101.74560752093538</v>
      </c>
      <c r="I10" s="104">
        <f aca="true" t="shared" si="4" ref="I10:I40">F10-D10</f>
        <v>-443737.82</v>
      </c>
      <c r="J10" s="104">
        <f aca="true" t="shared" si="5" ref="J10:J39">F10/D10*100</f>
        <v>36.72792474729687</v>
      </c>
      <c r="K10" s="106">
        <v>174168.33</v>
      </c>
      <c r="L10" s="106">
        <f t="shared" si="1"/>
        <v>83410.85</v>
      </c>
      <c r="M10" s="207">
        <f t="shared" si="2"/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 aca="true" t="shared" si="6" ref="P10:P40">O10-N10</f>
        <v>189.32000000000698</v>
      </c>
      <c r="Q10" s="104">
        <f aca="true" t="shared" si="7" ref="Q10:Q27">O10/N10*100</f>
        <v>100.35704586602294</v>
      </c>
      <c r="R10" s="37"/>
      <c r="S10" s="100">
        <f aca="true" t="shared" si="8" ref="S10:S35">O10-R10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 t="shared" si="0"/>
        <v>-2540.1000000000004</v>
      </c>
      <c r="H11" s="30">
        <f t="shared" si="3"/>
        <v>86.16503267973856</v>
      </c>
      <c r="I11" s="104">
        <f t="shared" si="4"/>
        <v>-30686.1</v>
      </c>
      <c r="J11" s="104">
        <f t="shared" si="5"/>
        <v>34.01690104502645</v>
      </c>
      <c r="K11" s="106">
        <v>14679.25</v>
      </c>
      <c r="L11" s="106">
        <f t="shared" si="1"/>
        <v>1140.6499999999996</v>
      </c>
      <c r="M11" s="207">
        <f t="shared" si="2"/>
        <v>1.0777049236166698</v>
      </c>
      <c r="N11" s="105">
        <f>E11-квітень!E11</f>
        <v>3660</v>
      </c>
      <c r="O11" s="144">
        <f>F11-квітень!F11</f>
        <v>3390.75</v>
      </c>
      <c r="P11" s="106">
        <f t="shared" si="6"/>
        <v>-269.25</v>
      </c>
      <c r="Q11" s="104">
        <f t="shared" si="7"/>
        <v>92.64344262295083</v>
      </c>
      <c r="R11" s="37"/>
      <c r="S11" s="100">
        <f t="shared" si="8"/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 t="shared" si="0"/>
        <v>802.2600000000002</v>
      </c>
      <c r="H12" s="30">
        <f t="shared" si="3"/>
        <v>127.28775510204082</v>
      </c>
      <c r="I12" s="104">
        <f t="shared" si="4"/>
        <v>-4537.74</v>
      </c>
      <c r="J12" s="104">
        <f t="shared" si="5"/>
        <v>45.196376811594206</v>
      </c>
      <c r="K12" s="106">
        <v>4583.23</v>
      </c>
      <c r="L12" s="106">
        <f t="shared" si="1"/>
        <v>-840.9699999999993</v>
      </c>
      <c r="M12" s="207">
        <f t="shared" si="2"/>
        <v>0.8165114995319895</v>
      </c>
      <c r="N12" s="105">
        <f>E12-квітень!E12</f>
        <v>600</v>
      </c>
      <c r="O12" s="144">
        <f>F12-квітень!F12</f>
        <v>1132.67</v>
      </c>
      <c r="P12" s="106">
        <f t="shared" si="6"/>
        <v>532.6700000000001</v>
      </c>
      <c r="Q12" s="104">
        <f t="shared" si="7"/>
        <v>188.77833333333334</v>
      </c>
      <c r="R12" s="37"/>
      <c r="S12" s="100">
        <f t="shared" si="8"/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 t="shared" si="0"/>
        <v>-17.409999999999854</v>
      </c>
      <c r="H13" s="30">
        <f t="shared" si="3"/>
        <v>99.55358974358974</v>
      </c>
      <c r="I13" s="104">
        <f t="shared" si="4"/>
        <v>-5507.41</v>
      </c>
      <c r="J13" s="104">
        <f t="shared" si="5"/>
        <v>41.34813631522897</v>
      </c>
      <c r="K13" s="106">
        <v>3763.44</v>
      </c>
      <c r="L13" s="106">
        <f t="shared" si="1"/>
        <v>119.15000000000009</v>
      </c>
      <c r="M13" s="207">
        <f t="shared" si="2"/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 t="shared" si="6"/>
        <v>73.26000000000022</v>
      </c>
      <c r="Q13" s="104">
        <f t="shared" si="7"/>
        <v>112.21000000000004</v>
      </c>
      <c r="R13" s="37"/>
      <c r="S13" s="100">
        <f t="shared" si="8"/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 t="shared" si="0"/>
        <v>127.64999999999998</v>
      </c>
      <c r="H14" s="30">
        <f t="shared" si="3"/>
        <v>126.59375</v>
      </c>
      <c r="I14" s="104">
        <f t="shared" si="4"/>
        <v>-544.35</v>
      </c>
      <c r="J14" s="104">
        <f t="shared" si="5"/>
        <v>52.747395833333336</v>
      </c>
      <c r="K14" s="106">
        <v>1906.68</v>
      </c>
      <c r="L14" s="106">
        <f t="shared" si="1"/>
        <v>-1299.0300000000002</v>
      </c>
      <c r="M14" s="207">
        <f t="shared" si="2"/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 t="shared" si="6"/>
        <v>29.47999999999996</v>
      </c>
      <c r="Q14" s="104">
        <f t="shared" si="7"/>
        <v>130.7083333333333</v>
      </c>
      <c r="R14" s="37"/>
      <c r="S14" s="100">
        <f t="shared" si="8"/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 t="shared" si="0"/>
        <v>-296.44</v>
      </c>
      <c r="H15" s="157">
        <f>F15/E15*100</f>
        <v>13.067448680351907</v>
      </c>
      <c r="I15" s="158">
        <f t="shared" si="4"/>
        <v>-506.44</v>
      </c>
      <c r="J15" s="158">
        <f>F15/D15*100</f>
        <v>8.087114337568059</v>
      </c>
      <c r="K15" s="161">
        <v>309.24</v>
      </c>
      <c r="L15" s="161">
        <f t="shared" si="1"/>
        <v>-264.68</v>
      </c>
      <c r="M15" s="208">
        <f t="shared" si="2"/>
        <v>0.14409520113827448</v>
      </c>
      <c r="N15" s="164">
        <f>E15-квітень!E15</f>
        <v>170</v>
      </c>
      <c r="O15" s="168">
        <f>F15-квітень!F15</f>
        <v>360.92</v>
      </c>
      <c r="P15" s="161">
        <f t="shared" si="6"/>
        <v>190.92000000000002</v>
      </c>
      <c r="Q15" s="158"/>
      <c r="R15" s="292">
        <v>150</v>
      </c>
      <c r="S15" s="291">
        <f t="shared" si="8"/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 t="shared" si="0"/>
        <v>0.49</v>
      </c>
      <c r="H17" s="157"/>
      <c r="I17" s="165">
        <f t="shared" si="4"/>
        <v>0.49</v>
      </c>
      <c r="J17" s="165"/>
      <c r="K17" s="167">
        <v>0.14</v>
      </c>
      <c r="L17" s="161">
        <f t="shared" si="1"/>
        <v>0.35</v>
      </c>
      <c r="M17" s="208">
        <f t="shared" si="2"/>
        <v>3.4999999999999996</v>
      </c>
      <c r="N17" s="164">
        <f>E17-квітень!E17</f>
        <v>0</v>
      </c>
      <c r="O17" s="168">
        <f>F17-квітень!F17</f>
        <v>0.49</v>
      </c>
      <c r="P17" s="167">
        <f t="shared" si="6"/>
        <v>0.49</v>
      </c>
      <c r="Q17" s="158"/>
      <c r="R17" s="104"/>
      <c r="S17" s="100">
        <f t="shared" si="8"/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 t="shared" si="0"/>
        <v>-3404.9100000000035</v>
      </c>
      <c r="H19" s="164">
        <f t="shared" si="3"/>
        <v>92.96506198347106</v>
      </c>
      <c r="I19" s="165">
        <f t="shared" si="4"/>
        <v>-85004.91</v>
      </c>
      <c r="J19" s="165">
        <f t="shared" si="5"/>
        <v>34.611607692307686</v>
      </c>
      <c r="K19" s="161">
        <v>35230.56</v>
      </c>
      <c r="L19" s="167">
        <f t="shared" si="1"/>
        <v>9764.529999999999</v>
      </c>
      <c r="M19" s="213">
        <f t="shared" si="2"/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 t="shared" si="6"/>
        <v>-1609.6740000000063</v>
      </c>
      <c r="Q19" s="165">
        <f t="shared" si="7"/>
        <v>84.66977142857137</v>
      </c>
      <c r="R19" s="292">
        <v>9450</v>
      </c>
      <c r="S19" s="291">
        <f t="shared" si="8"/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 t="shared" si="0"/>
        <v>-3521.5099999999984</v>
      </c>
      <c r="H20" s="195">
        <f t="shared" si="3"/>
        <v>88.12306913996628</v>
      </c>
      <c r="I20" s="254">
        <f t="shared" si="4"/>
        <v>-50371.509999999995</v>
      </c>
      <c r="J20" s="254">
        <f t="shared" si="5"/>
        <v>34.15488888888889</v>
      </c>
      <c r="K20" s="255">
        <v>35230.56</v>
      </c>
      <c r="L20" s="166">
        <f t="shared" si="1"/>
        <v>-9102.069999999996</v>
      </c>
      <c r="M20" s="256">
        <f t="shared" si="2"/>
        <v>0.7416427669614108</v>
      </c>
      <c r="N20" s="195">
        <f>E20-квітень!E20</f>
        <v>5750</v>
      </c>
      <c r="O20" s="179">
        <f>F20-квітень!F20</f>
        <v>4148.91</v>
      </c>
      <c r="P20" s="166">
        <f t="shared" si="6"/>
        <v>-1601.0900000000001</v>
      </c>
      <c r="Q20" s="254">
        <f t="shared" si="7"/>
        <v>72.15495652173914</v>
      </c>
      <c r="R20" s="107">
        <v>4450</v>
      </c>
      <c r="S20" s="100">
        <f t="shared" si="8"/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 t="shared" si="0"/>
        <v>143.69000000000005</v>
      </c>
      <c r="H21" s="195"/>
      <c r="I21" s="254">
        <f t="shared" si="4"/>
        <v>-6606.3099999999995</v>
      </c>
      <c r="J21" s="254">
        <f t="shared" si="5"/>
        <v>38.258785046728974</v>
      </c>
      <c r="K21" s="255">
        <v>0</v>
      </c>
      <c r="L21" s="166">
        <f t="shared" si="1"/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 t="shared" si="6"/>
        <v>24.75</v>
      </c>
      <c r="Q21" s="254"/>
      <c r="R21" s="107">
        <v>1000</v>
      </c>
      <c r="S21" s="100">
        <f t="shared" si="8"/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 t="shared" si="0"/>
        <v>-27.079999999999927</v>
      </c>
      <c r="H22" s="195"/>
      <c r="I22" s="254">
        <f t="shared" si="4"/>
        <v>-28027.08</v>
      </c>
      <c r="J22" s="254">
        <f t="shared" si="5"/>
        <v>34.516168224299065</v>
      </c>
      <c r="K22" s="255">
        <v>0</v>
      </c>
      <c r="L22" s="166">
        <f t="shared" si="1"/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 t="shared" si="6"/>
        <v>-33.31999999999971</v>
      </c>
      <c r="Q22" s="254"/>
      <c r="R22" s="107">
        <v>4000</v>
      </c>
      <c r="S22" s="100">
        <f t="shared" si="8"/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 t="shared" si="0"/>
        <v>1253.1800000000221</v>
      </c>
      <c r="H23" s="157">
        <f t="shared" si="3"/>
        <v>100.70780095858521</v>
      </c>
      <c r="I23" s="158">
        <f t="shared" si="4"/>
        <v>-222824.31999999998</v>
      </c>
      <c r="J23" s="158">
        <f t="shared" si="5"/>
        <v>44.45086020719961</v>
      </c>
      <c r="K23" s="158">
        <v>140248.27</v>
      </c>
      <c r="L23" s="161">
        <f t="shared" si="1"/>
        <v>38057.51000000001</v>
      </c>
      <c r="M23" s="209">
        <f t="shared" si="2"/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 t="shared" si="6"/>
        <v>-1079.609999999957</v>
      </c>
      <c r="Q23" s="158">
        <f t="shared" si="7"/>
        <v>97.16459931558128</v>
      </c>
      <c r="R23" s="283">
        <f>R24+R32+R33+R34+R35</f>
        <v>37059</v>
      </c>
      <c r="S23" s="291">
        <f t="shared" si="8"/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 t="shared" si="0"/>
        <v>-975.7699999999895</v>
      </c>
      <c r="H24" s="157">
        <f t="shared" si="3"/>
        <v>98.82022152660146</v>
      </c>
      <c r="I24" s="158">
        <f t="shared" si="4"/>
        <v>-124888.87</v>
      </c>
      <c r="J24" s="158">
        <f t="shared" si="5"/>
        <v>39.55654555926068</v>
      </c>
      <c r="K24" s="158">
        <v>71540.14</v>
      </c>
      <c r="L24" s="161">
        <f t="shared" si="1"/>
        <v>10191.990000000005</v>
      </c>
      <c r="M24" s="209">
        <f t="shared" si="2"/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 t="shared" si="6"/>
        <v>-1308.9599999999919</v>
      </c>
      <c r="Q24" s="158">
        <f t="shared" si="7"/>
        <v>91.48039911221619</v>
      </c>
      <c r="R24" s="107">
        <f>R25+R28+R29</f>
        <v>14352</v>
      </c>
      <c r="S24" s="100">
        <f t="shared" si="8"/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 t="shared" si="0"/>
        <v>551.9400000000005</v>
      </c>
      <c r="H25" s="173">
        <f t="shared" si="3"/>
        <v>105.75891319998749</v>
      </c>
      <c r="I25" s="174">
        <f t="shared" si="4"/>
        <v>-12672.96</v>
      </c>
      <c r="J25" s="174">
        <f t="shared" si="5"/>
        <v>44.43877416809155</v>
      </c>
      <c r="K25" s="175">
        <v>8640.15</v>
      </c>
      <c r="L25" s="166">
        <f t="shared" si="1"/>
        <v>1495.8900000000012</v>
      </c>
      <c r="M25" s="215">
        <f t="shared" si="2"/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 t="shared" si="6"/>
        <v>135.63000000000102</v>
      </c>
      <c r="Q25" s="174">
        <f t="shared" si="7"/>
        <v>153.3766233766237</v>
      </c>
      <c r="R25" s="283">
        <v>347</v>
      </c>
      <c r="S25" s="291">
        <f t="shared" si="8"/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 t="shared" si="0"/>
        <v>-407.73</v>
      </c>
      <c r="H26" s="199">
        <f t="shared" si="3"/>
        <v>32.606611570247935</v>
      </c>
      <c r="I26" s="200">
        <f t="shared" si="4"/>
        <v>-1625.03</v>
      </c>
      <c r="J26" s="200">
        <f t="shared" si="5"/>
        <v>10.825330626131812</v>
      </c>
      <c r="K26" s="200">
        <v>263.65</v>
      </c>
      <c r="L26" s="200">
        <f t="shared" si="1"/>
        <v>-66.37999999999997</v>
      </c>
      <c r="M26" s="228">
        <f t="shared" si="2"/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 t="shared" si="6"/>
        <v>-57.97</v>
      </c>
      <c r="Q26" s="200">
        <f t="shared" si="7"/>
        <v>-5.399999999999998</v>
      </c>
      <c r="R26" s="107"/>
      <c r="S26" s="100">
        <f t="shared" si="8"/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 t="shared" si="0"/>
        <v>959.6700000000001</v>
      </c>
      <c r="H27" s="199">
        <f t="shared" si="3"/>
        <v>110.68781949193126</v>
      </c>
      <c r="I27" s="200">
        <f t="shared" si="4"/>
        <v>-11047.93</v>
      </c>
      <c r="J27" s="200">
        <f t="shared" si="5"/>
        <v>47.35746925433727</v>
      </c>
      <c r="K27" s="200">
        <v>8376.5</v>
      </c>
      <c r="L27" s="200">
        <f t="shared" si="1"/>
        <v>1562.2700000000004</v>
      </c>
      <c r="M27" s="228">
        <f t="shared" si="2"/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 t="shared" si="6"/>
        <v>193.60000000000036</v>
      </c>
      <c r="Q27" s="200">
        <f t="shared" si="7"/>
        <v>197.23756906077347</v>
      </c>
      <c r="R27" s="107"/>
      <c r="S27" s="100">
        <f t="shared" si="8"/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 t="shared" si="0"/>
        <v>-174.28</v>
      </c>
      <c r="H28" s="173">
        <f t="shared" si="3"/>
        <v>-35.31055900621117</v>
      </c>
      <c r="I28" s="174">
        <f t="shared" si="4"/>
        <v>-865.48</v>
      </c>
      <c r="J28" s="174">
        <f t="shared" si="5"/>
        <v>-5.546341463414634</v>
      </c>
      <c r="K28" s="174">
        <v>420.08</v>
      </c>
      <c r="L28" s="174">
        <f t="shared" si="1"/>
        <v>-465.56</v>
      </c>
      <c r="M28" s="212">
        <f t="shared" si="2"/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 t="shared" si="6"/>
        <v>-155</v>
      </c>
      <c r="Q28" s="174">
        <f>O28/N28*100</f>
        <v>-2999.9999999999914</v>
      </c>
      <c r="R28" s="107">
        <v>5</v>
      </c>
      <c r="S28" s="100">
        <f t="shared" si="8"/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 t="shared" si="0"/>
        <v>-1353.429999999993</v>
      </c>
      <c r="H29" s="173">
        <f t="shared" si="3"/>
        <v>98.1458593054319</v>
      </c>
      <c r="I29" s="174">
        <f t="shared" si="4"/>
        <v>-111350.43</v>
      </c>
      <c r="J29" s="174">
        <f t="shared" si="5"/>
        <v>39.150110387339346</v>
      </c>
      <c r="K29" s="175">
        <v>62479.91</v>
      </c>
      <c r="L29" s="175">
        <f t="shared" si="1"/>
        <v>9161.660000000003</v>
      </c>
      <c r="M29" s="211">
        <f t="shared" si="2"/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 t="shared" si="6"/>
        <v>-1289.5899999999965</v>
      </c>
      <c r="Q29" s="174">
        <f>O29/N29*100</f>
        <v>91.46249586229727</v>
      </c>
      <c r="R29" s="283">
        <v>14000</v>
      </c>
      <c r="S29" s="291">
        <f t="shared" si="8"/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 t="shared" si="0"/>
        <v>2071.2400000000016</v>
      </c>
      <c r="H30" s="199">
        <f t="shared" si="3"/>
        <v>109.380615942029</v>
      </c>
      <c r="I30" s="200">
        <f t="shared" si="4"/>
        <v>-33381.759999999995</v>
      </c>
      <c r="J30" s="200">
        <f t="shared" si="5"/>
        <v>41.97806476283177</v>
      </c>
      <c r="K30" s="200">
        <v>19348.56</v>
      </c>
      <c r="L30" s="200">
        <f t="shared" si="1"/>
        <v>4802.68</v>
      </c>
      <c r="M30" s="228">
        <f t="shared" si="2"/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 t="shared" si="6"/>
        <v>196.71000000000276</v>
      </c>
      <c r="Q30" s="200">
        <f>O30/N30*100</f>
        <v>104.23032258064522</v>
      </c>
      <c r="R30" s="107"/>
      <c r="S30" s="100">
        <f t="shared" si="8"/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 t="shared" si="0"/>
        <v>-3424.6699999999983</v>
      </c>
      <c r="H31" s="199">
        <f t="shared" si="3"/>
        <v>93.27375036826083</v>
      </c>
      <c r="I31" s="200">
        <f t="shared" si="4"/>
        <v>-77968.67</v>
      </c>
      <c r="J31" s="200">
        <f t="shared" si="5"/>
        <v>37.853266804294634</v>
      </c>
      <c r="K31" s="200">
        <v>43131.35</v>
      </c>
      <c r="L31" s="200">
        <f t="shared" si="1"/>
        <v>4358.980000000003</v>
      </c>
      <c r="M31" s="228">
        <f t="shared" si="2"/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 t="shared" si="6"/>
        <v>-1486.2999999999956</v>
      </c>
      <c r="Q31" s="200">
        <f>O31/N31*100</f>
        <v>85.78383548541372</v>
      </c>
      <c r="R31" s="107"/>
      <c r="S31" s="100">
        <f t="shared" si="8"/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 t="shared" si="0"/>
        <v>36.230000000000004</v>
      </c>
      <c r="H33" s="157">
        <f t="shared" si="3"/>
        <v>192.8974358974359</v>
      </c>
      <c r="I33" s="158">
        <f t="shared" si="4"/>
        <v>-39.769999999999996</v>
      </c>
      <c r="J33" s="158">
        <f t="shared" si="5"/>
        <v>65.41739130434783</v>
      </c>
      <c r="K33" s="158">
        <v>51.14</v>
      </c>
      <c r="L33" s="158">
        <f t="shared" si="1"/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 t="shared" si="6"/>
        <v>10.820000000000007</v>
      </c>
      <c r="Q33" s="158">
        <f>O33/N33*100</f>
        <v>190.16666666666674</v>
      </c>
      <c r="R33" s="107">
        <v>7</v>
      </c>
      <c r="S33" s="100">
        <f t="shared" si="8"/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 t="shared" si="0"/>
        <v>2219.290000000008</v>
      </c>
      <c r="H35" s="164">
        <f t="shared" si="3"/>
        <v>102.35329359731173</v>
      </c>
      <c r="I35" s="165">
        <f t="shared" si="4"/>
        <v>-97869.11</v>
      </c>
      <c r="J35" s="165">
        <f t="shared" si="5"/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 t="shared" si="6"/>
        <v>217.95000000001164</v>
      </c>
      <c r="Q35" s="165">
        <f>O35/N35*100</f>
        <v>100.96013215859037</v>
      </c>
      <c r="R35" s="283">
        <v>22700</v>
      </c>
      <c r="S35" s="291">
        <f t="shared" si="8"/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 t="shared" si="0"/>
        <v>0.01</v>
      </c>
      <c r="H36" s="105"/>
      <c r="I36" s="104">
        <f t="shared" si="4"/>
        <v>0.01</v>
      </c>
      <c r="J36" s="104"/>
      <c r="K36" s="127">
        <v>0.18</v>
      </c>
      <c r="L36" s="127">
        <f t="shared" si="1"/>
        <v>-0.16999999999999998</v>
      </c>
      <c r="M36" s="216">
        <f aca="true" t="shared" si="9" ref="M36:M42">F36/K36</f>
        <v>0.05555555555555556</v>
      </c>
      <c r="N36" s="105">
        <f>E36-квітень!E36</f>
        <v>0</v>
      </c>
      <c r="O36" s="144">
        <f>F36-квітень!F36</f>
        <v>0.01</v>
      </c>
      <c r="P36" s="106">
        <f t="shared" si="6"/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 t="shared" si="0"/>
        <v>341.6899999999987</v>
      </c>
      <c r="H37" s="105">
        <f t="shared" si="3"/>
        <v>101.80597251585624</v>
      </c>
      <c r="I37" s="104">
        <f t="shared" si="4"/>
        <v>-21738.31</v>
      </c>
      <c r="J37" s="104">
        <f t="shared" si="5"/>
        <v>46.97973170731707</v>
      </c>
      <c r="K37" s="127">
        <v>17552.06</v>
      </c>
      <c r="L37" s="127">
        <f t="shared" si="1"/>
        <v>1709.6299999999974</v>
      </c>
      <c r="M37" s="216">
        <f t="shared" si="9"/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 t="shared" si="6"/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 t="shared" si="0"/>
        <v>1880.1900000000023</v>
      </c>
      <c r="H38" s="105">
        <f t="shared" si="3"/>
        <v>102.49494426751593</v>
      </c>
      <c r="I38" s="104">
        <f t="shared" si="4"/>
        <v>-76098.91</v>
      </c>
      <c r="J38" s="104">
        <f t="shared" si="5"/>
        <v>50.37214252594413</v>
      </c>
      <c r="K38" s="127">
        <v>51200.46</v>
      </c>
      <c r="L38" s="127">
        <f t="shared" si="1"/>
        <v>26039.730000000003</v>
      </c>
      <c r="M38" s="216">
        <f t="shared" si="9"/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 t="shared" si="6"/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 t="shared" si="0"/>
        <v>0.35</v>
      </c>
      <c r="H40" s="30"/>
      <c r="I40" s="37">
        <f t="shared" si="4"/>
        <v>0.35</v>
      </c>
      <c r="J40" s="37"/>
      <c r="K40" s="119">
        <v>0</v>
      </c>
      <c r="L40" s="119">
        <f t="shared" si="1"/>
        <v>0.35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0.35</v>
      </c>
      <c r="P40" s="36">
        <f t="shared" si="6"/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 t="shared" si="1"/>
        <v>4514.689999999995</v>
      </c>
      <c r="M41" s="205">
        <f t="shared" si="9"/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 aca="true" t="shared" si="10" ref="H42:H65">F42/E42*100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 t="shared" si="1"/>
        <v>1964.6</v>
      </c>
      <c r="M42" s="218">
        <f t="shared" si="9"/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 aca="true" t="shared" si="11" ref="Q42:Q65">O42/N42*100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 t="shared" si="12"/>
        <v>336.26</v>
      </c>
      <c r="H46" s="164">
        <f t="shared" si="10"/>
        <v>417.2264150943396</v>
      </c>
      <c r="I46" s="165">
        <f t="shared" si="13"/>
        <v>182.26</v>
      </c>
      <c r="J46" s="165">
        <f t="shared" si="16"/>
        <v>170.1</v>
      </c>
      <c r="K46" s="165">
        <v>50.4</v>
      </c>
      <c r="L46" s="165">
        <f t="shared" si="1"/>
        <v>391.86</v>
      </c>
      <c r="M46" s="218">
        <f t="shared" si="17"/>
        <v>8.775</v>
      </c>
      <c r="N46" s="164">
        <f>E46-квітень!E46</f>
        <v>22</v>
      </c>
      <c r="O46" s="168">
        <f>F46-квітень!F46</f>
        <v>47.77699999999999</v>
      </c>
      <c r="P46" s="167">
        <f t="shared" si="14"/>
        <v>25.776999999999987</v>
      </c>
      <c r="Q46" s="165">
        <f t="shared" si="11"/>
        <v>217.16818181818175</v>
      </c>
      <c r="R46" s="37">
        <v>22</v>
      </c>
      <c r="S46" s="37">
        <f t="shared" si="15"/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 t="shared" si="12"/>
        <v>105.13</v>
      </c>
      <c r="H48" s="164">
        <f t="shared" si="10"/>
        <v>126.28250000000001</v>
      </c>
      <c r="I48" s="165">
        <f t="shared" si="13"/>
        <v>-224.87</v>
      </c>
      <c r="J48" s="165">
        <f t="shared" si="16"/>
        <v>69.19589041095891</v>
      </c>
      <c r="K48" s="165">
        <v>76.33</v>
      </c>
      <c r="L48" s="165">
        <f t="shared" si="1"/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 t="shared" si="14"/>
        <v>51.65999999999997</v>
      </c>
      <c r="Q48" s="165">
        <f t="shared" si="11"/>
        <v>186.09999999999997</v>
      </c>
      <c r="R48" s="37">
        <v>60</v>
      </c>
      <c r="S48" s="37">
        <f t="shared" si="15"/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 t="shared" si="12"/>
        <v>1110.2700000000004</v>
      </c>
      <c r="H50" s="164">
        <f t="shared" si="10"/>
        <v>121.60058365758755</v>
      </c>
      <c r="I50" s="165">
        <f t="shared" si="13"/>
        <v>-4749.73</v>
      </c>
      <c r="J50" s="165">
        <f t="shared" si="16"/>
        <v>56.82063636363637</v>
      </c>
      <c r="K50" s="165">
        <v>4057.41</v>
      </c>
      <c r="L50" s="165">
        <f t="shared" si="1"/>
        <v>2192.8600000000006</v>
      </c>
      <c r="M50" s="218">
        <f t="shared" si="17"/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 t="shared" si="14"/>
        <v>668.7600000000002</v>
      </c>
      <c r="Q50" s="165">
        <f t="shared" si="11"/>
        <v>174.3066666666667</v>
      </c>
      <c r="R50" s="37">
        <v>1000</v>
      </c>
      <c r="S50" s="37">
        <f t="shared" si="15"/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 t="shared" si="12"/>
        <v>91.35</v>
      </c>
      <c r="H51" s="164">
        <f t="shared" si="10"/>
        <v>173.07999999999998</v>
      </c>
      <c r="I51" s="165">
        <f t="shared" si="13"/>
        <v>-93.65</v>
      </c>
      <c r="J51" s="165">
        <f t="shared" si="16"/>
        <v>69.79032258064515</v>
      </c>
      <c r="K51" s="165">
        <v>33.93</v>
      </c>
      <c r="L51" s="165">
        <f t="shared" si="1"/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 t="shared" si="14"/>
        <v>15.97999999999999</v>
      </c>
      <c r="Q51" s="165">
        <f t="shared" si="11"/>
        <v>163.91999999999996</v>
      </c>
      <c r="R51" s="37">
        <v>25</v>
      </c>
      <c r="S51" s="37">
        <f t="shared" si="15"/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 t="shared" si="12"/>
        <v>-141.48000000000002</v>
      </c>
      <c r="H54" s="164">
        <f t="shared" si="10"/>
        <v>70.21473684210527</v>
      </c>
      <c r="I54" s="165">
        <f t="shared" si="13"/>
        <v>-866.48</v>
      </c>
      <c r="J54" s="165">
        <f t="shared" si="16"/>
        <v>27.79333333333333</v>
      </c>
      <c r="K54" s="165">
        <v>2573.46</v>
      </c>
      <c r="L54" s="165">
        <f t="shared" si="1"/>
        <v>-2239.94</v>
      </c>
      <c r="M54" s="218">
        <f t="shared" si="17"/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 t="shared" si="14"/>
        <v>-100.74200000000002</v>
      </c>
      <c r="Q54" s="165">
        <f t="shared" si="11"/>
        <v>30.522758620689643</v>
      </c>
      <c r="R54" s="37">
        <v>70</v>
      </c>
      <c r="S54" s="37">
        <f t="shared" si="15"/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 t="shared" si="12"/>
        <v>-109.62</v>
      </c>
      <c r="H55" s="30">
        <f t="shared" si="10"/>
        <v>72.595</v>
      </c>
      <c r="I55" s="104">
        <f t="shared" si="13"/>
        <v>-707.62</v>
      </c>
      <c r="J55" s="104">
        <f t="shared" si="16"/>
        <v>29.096192384769537</v>
      </c>
      <c r="K55" s="104">
        <v>367.55</v>
      </c>
      <c r="L55" s="104">
        <f>F55-K55</f>
        <v>-77.17000000000002</v>
      </c>
      <c r="M55" s="109">
        <f t="shared" si="17"/>
        <v>0.7900421711331791</v>
      </c>
      <c r="N55" s="105">
        <f>E55-квітень!E55</f>
        <v>130</v>
      </c>
      <c r="O55" s="144">
        <f>F55-квітень!F55</f>
        <v>35</v>
      </c>
      <c r="P55" s="106">
        <f t="shared" si="14"/>
        <v>-95</v>
      </c>
      <c r="Q55" s="119">
        <f t="shared" si="11"/>
        <v>26.923076923076923</v>
      </c>
      <c r="R55" s="37"/>
      <c r="S55" s="37">
        <f t="shared" si="15"/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 t="shared" si="12"/>
        <v>0.15</v>
      </c>
      <c r="H56" s="30" t="e">
        <f t="shared" si="10"/>
        <v>#DIV/0!</v>
      </c>
      <c r="I56" s="104">
        <f t="shared" si="13"/>
        <v>-0.85</v>
      </c>
      <c r="J56" s="104">
        <f t="shared" si="16"/>
        <v>15</v>
      </c>
      <c r="K56" s="104">
        <v>0.23</v>
      </c>
      <c r="L56" s="104">
        <f>F56-K56</f>
        <v>-0.08000000000000002</v>
      </c>
      <c r="M56" s="109">
        <f t="shared" si="17"/>
        <v>0.6521739130434782</v>
      </c>
      <c r="N56" s="105">
        <f>E56-квітень!E56</f>
        <v>0</v>
      </c>
      <c r="O56" s="144">
        <f>F56-квітень!F56</f>
        <v>0.03</v>
      </c>
      <c r="P56" s="106">
        <f t="shared" si="14"/>
        <v>0.03</v>
      </c>
      <c r="Q56" s="119" t="e">
        <f t="shared" si="11"/>
        <v>#DIV/0!</v>
      </c>
      <c r="R56" s="37"/>
      <c r="S56" s="37">
        <f t="shared" si="15"/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 t="shared" si="12"/>
        <v>-32</v>
      </c>
      <c r="H58" s="30">
        <f t="shared" si="10"/>
        <v>57.333333333333336</v>
      </c>
      <c r="I58" s="104">
        <f t="shared" si="13"/>
        <v>-157</v>
      </c>
      <c r="J58" s="104">
        <f t="shared" si="16"/>
        <v>21.5</v>
      </c>
      <c r="K58" s="104">
        <v>2205.67</v>
      </c>
      <c r="L58" s="104">
        <f>F58-K58</f>
        <v>-2162.67</v>
      </c>
      <c r="M58" s="109">
        <f t="shared" si="17"/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 t="shared" si="14"/>
        <v>-5.770000000000003</v>
      </c>
      <c r="Q58" s="119">
        <f t="shared" si="11"/>
        <v>61.53333333333332</v>
      </c>
      <c r="R58" s="37"/>
      <c r="S58" s="37">
        <f t="shared" si="15"/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 t="shared" si="12"/>
        <v>-222.86000000000013</v>
      </c>
      <c r="H60" s="164">
        <f t="shared" si="10"/>
        <v>94.76854460093897</v>
      </c>
      <c r="I60" s="165">
        <f t="shared" si="13"/>
        <v>-3312.86</v>
      </c>
      <c r="J60" s="165">
        <f t="shared" si="16"/>
        <v>54.92707482993197</v>
      </c>
      <c r="K60" s="165">
        <v>2320.11</v>
      </c>
      <c r="L60" s="165">
        <f aca="true" t="shared" si="18" ref="L60:L66">F60-K60</f>
        <v>1717.0299999999997</v>
      </c>
      <c r="M60" s="218">
        <f t="shared" si="17"/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 t="shared" si="14"/>
        <v>-99.07200000000012</v>
      </c>
      <c r="Q60" s="165">
        <f t="shared" si="11"/>
        <v>83.48799999999999</v>
      </c>
      <c r="R60" s="37">
        <v>450</v>
      </c>
      <c r="S60" s="37">
        <f t="shared" si="15"/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 t="shared" si="18"/>
        <v>404.92</v>
      </c>
      <c r="M62" s="218">
        <f t="shared" si="17"/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 t="shared" si="15"/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 t="shared" si="12"/>
        <v>15.950000000000001</v>
      </c>
      <c r="H65" s="164">
        <f t="shared" si="10"/>
        <v>349.21875</v>
      </c>
      <c r="I65" s="165">
        <f t="shared" si="13"/>
        <v>7.350000000000001</v>
      </c>
      <c r="J65" s="165">
        <f t="shared" si="16"/>
        <v>149</v>
      </c>
      <c r="K65" s="165">
        <v>13.52</v>
      </c>
      <c r="L65" s="165">
        <f t="shared" si="18"/>
        <v>8.830000000000002</v>
      </c>
      <c r="M65" s="218">
        <f t="shared" si="17"/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 t="shared" si="14"/>
        <v>4.198</v>
      </c>
      <c r="Q65" s="165">
        <f t="shared" si="11"/>
        <v>422.92307692307674</v>
      </c>
      <c r="R65" s="37">
        <v>1.3</v>
      </c>
      <c r="S65" s="37">
        <f t="shared" si="15"/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7">F75-K75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 t="shared" si="19"/>
        <v>-4499.87</v>
      </c>
      <c r="H76" s="164">
        <f>F76/E76*100</f>
        <v>0.0028888888888888888</v>
      </c>
      <c r="I76" s="167">
        <f t="shared" si="20"/>
        <v>-104205.9</v>
      </c>
      <c r="J76" s="167">
        <f>F76/D76*100</f>
        <v>0.00012475285739222577</v>
      </c>
      <c r="K76" s="167">
        <v>1041.97</v>
      </c>
      <c r="L76" s="167">
        <f t="shared" si="21"/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 t="shared" si="22"/>
        <v>-4499.99</v>
      </c>
      <c r="Q76" s="167">
        <f>O76/N76*100</f>
        <v>0.00022222222222222242</v>
      </c>
      <c r="R76" s="38">
        <v>0</v>
      </c>
      <c r="S76" s="38">
        <f aca="true" t="shared" si="23" ref="S76:S87">O76-R76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 t="shared" si="19"/>
        <v>-7764.58</v>
      </c>
      <c r="H78" s="164">
        <f>F78/E78*100</f>
        <v>37.128906882591096</v>
      </c>
      <c r="I78" s="167">
        <f t="shared" si="20"/>
        <v>-74414.58</v>
      </c>
      <c r="J78" s="167">
        <f>F78/D78*100</f>
        <v>5.804329113924051</v>
      </c>
      <c r="K78" s="167">
        <v>9113.39</v>
      </c>
      <c r="L78" s="167">
        <f t="shared" si="21"/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 t="shared" si="22"/>
        <v>-1086.0299999999997</v>
      </c>
      <c r="Q78" s="167">
        <f>O78/N78*100</f>
        <v>71.79142857142857</v>
      </c>
      <c r="R78" s="38">
        <v>1500</v>
      </c>
      <c r="S78" s="38">
        <f t="shared" si="23"/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 t="shared" si="19"/>
        <v>-23988.55</v>
      </c>
      <c r="H80" s="186">
        <f>F80/E80*100</f>
        <v>16.95153193699152</v>
      </c>
      <c r="I80" s="187">
        <f t="shared" si="20"/>
        <v>-232321.58</v>
      </c>
      <c r="J80" s="187">
        <f>F80/D80*100</f>
        <v>2.064113760661447</v>
      </c>
      <c r="K80" s="187">
        <v>11029.59</v>
      </c>
      <c r="L80" s="187">
        <f t="shared" si="21"/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 t="shared" si="22"/>
        <v>-9184.04</v>
      </c>
      <c r="Q80" s="187">
        <f>O80/N80*100</f>
        <v>23.152539536440468</v>
      </c>
      <c r="R80" s="39">
        <f>SUM(R76:R79)</f>
        <v>1701</v>
      </c>
      <c r="S80" s="39">
        <f t="shared" si="23"/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 t="shared" si="19"/>
        <v>30.6</v>
      </c>
      <c r="H81" s="164"/>
      <c r="I81" s="167">
        <f t="shared" si="20"/>
        <v>-5.899999999999999</v>
      </c>
      <c r="J81" s="167"/>
      <c r="K81" s="167">
        <v>4.4</v>
      </c>
      <c r="L81" s="167">
        <f t="shared" si="21"/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 t="shared" si="22"/>
        <v>23.85</v>
      </c>
      <c r="Q81" s="167"/>
      <c r="R81" s="38">
        <v>1</v>
      </c>
      <c r="S81" s="38">
        <f t="shared" si="23"/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 t="shared" si="19"/>
        <v>596.7200000000003</v>
      </c>
      <c r="H83" s="164">
        <f>F83/E83*100</f>
        <v>113.24131809608345</v>
      </c>
      <c r="I83" s="167">
        <f t="shared" si="20"/>
        <v>-3256.7799999999997</v>
      </c>
      <c r="J83" s="167">
        <f>F83/D83*100</f>
        <v>61.043301435406704</v>
      </c>
      <c r="K83" s="167">
        <v>4887.77</v>
      </c>
      <c r="L83" s="167">
        <f t="shared" si="21"/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 t="shared" si="23"/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19"/>
        <v>0.05</v>
      </c>
      <c r="H84" s="164"/>
      <c r="I84" s="167">
        <f t="shared" si="20"/>
        <v>0.05</v>
      </c>
      <c r="J84" s="167"/>
      <c r="K84" s="167">
        <v>0.69</v>
      </c>
      <c r="L84" s="167">
        <f t="shared" si="21"/>
        <v>-0.6399999999999999</v>
      </c>
      <c r="M84" s="209">
        <f aca="true" t="shared" si="24" ref="M84:M89">F84/K84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 t="shared" si="22"/>
        <v>0.020000000000000004</v>
      </c>
      <c r="Q84" s="167"/>
      <c r="R84" s="38">
        <v>0</v>
      </c>
      <c r="S84" s="38">
        <f t="shared" si="23"/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 t="shared" si="20"/>
        <v>-3262.63</v>
      </c>
      <c r="J85" s="187">
        <f>F85/D85*100</f>
        <v>61.159166666666664</v>
      </c>
      <c r="K85" s="187">
        <v>4892.86</v>
      </c>
      <c r="L85" s="187">
        <f t="shared" si="21"/>
        <v>244.51000000000022</v>
      </c>
      <c r="M85" s="220">
        <f t="shared" si="24"/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 t="shared" si="23"/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 t="shared" si="19"/>
        <v>-7.5600000000000005</v>
      </c>
      <c r="H86" s="164">
        <f>F86/E86*100</f>
        <v>50.588235294117645</v>
      </c>
      <c r="I86" s="167">
        <f t="shared" si="20"/>
        <v>-30.259999999999998</v>
      </c>
      <c r="J86" s="167">
        <f>F86/D86*100</f>
        <v>20.36842105263158</v>
      </c>
      <c r="K86" s="167">
        <v>9.19</v>
      </c>
      <c r="L86" s="167">
        <f t="shared" si="21"/>
        <v>-1.4499999999999993</v>
      </c>
      <c r="M86" s="209">
        <f t="shared" si="24"/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 t="shared" si="22"/>
        <v>-1.0600000000000005</v>
      </c>
      <c r="Q86" s="167">
        <f>O86/N86</f>
        <v>0.11666666666666704</v>
      </c>
      <c r="R86" s="38">
        <v>1.2</v>
      </c>
      <c r="S86" s="38">
        <f t="shared" si="23"/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>
        <v>0</v>
      </c>
      <c r="L87" s="167">
        <f t="shared" si="21"/>
        <v>0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 t="shared" si="24"/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 t="shared" si="22"/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 t="shared" si="24"/>
        <v>1.3111841836400915</v>
      </c>
      <c r="N89" s="192">
        <f>N67+N88</f>
        <v>126184.69999999998</v>
      </c>
      <c r="O89" s="192">
        <f>O67+O88</f>
        <v>118367.426</v>
      </c>
      <c r="P89" s="194">
        <f t="shared" si="22"/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3"/>
      <c r="P93" s="303"/>
    </row>
    <row r="94" spans="3:16" ht="15">
      <c r="C94" s="81">
        <v>42885</v>
      </c>
      <c r="D94" s="29">
        <v>10664.9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42884</v>
      </c>
      <c r="D95" s="29">
        <v>6919.44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1135.71022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 aca="true" t="shared" si="25" ref="K103:P103">K43+K44+K46+K48+K50+K51+K52+K53+K54+K60+K64+K47</f>
        <v>22597.689999999995</v>
      </c>
      <c r="L103" s="29">
        <f t="shared" si="25"/>
        <v>2548.230000000001</v>
      </c>
      <c r="M103" s="29">
        <f t="shared" si="25"/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 t="shared" si="25"/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532467.3300000001</v>
      </c>
      <c r="G104" s="29">
        <f t="shared" si="26"/>
        <v>2965.280000000091</v>
      </c>
      <c r="H104" s="230">
        <f>F104/E104</f>
        <v>1.0055901590025293</v>
      </c>
      <c r="I104" s="29">
        <f t="shared" si="26"/>
        <v>-825018.5199999999</v>
      </c>
      <c r="J104" s="230">
        <f>F104/D104</f>
        <v>0.3922436986879693</v>
      </c>
      <c r="K104" s="29">
        <f t="shared" si="26"/>
        <v>22597.689999999995</v>
      </c>
      <c r="L104" s="29">
        <f t="shared" si="26"/>
        <v>2548.230000000001</v>
      </c>
      <c r="M104" s="29">
        <f t="shared" si="26"/>
        <v>17.713084682263524</v>
      </c>
      <c r="N104" s="29">
        <f t="shared" si="26"/>
        <v>112090.19999999998</v>
      </c>
      <c r="O104" s="229">
        <f t="shared" si="26"/>
        <v>112706.06600000002</v>
      </c>
      <c r="P104" s="29">
        <f t="shared" si="26"/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0.8399999999674037</v>
      </c>
      <c r="G105" s="29">
        <f t="shared" si="27"/>
        <v>-4.410000000095806</v>
      </c>
      <c r="H105" s="230"/>
      <c r="I105" s="29">
        <f t="shared" si="27"/>
        <v>-4.410000000149012</v>
      </c>
      <c r="J105" s="230"/>
      <c r="K105" s="29">
        <f t="shared" si="27"/>
        <v>375251.6</v>
      </c>
      <c r="L105" s="29">
        <f t="shared" si="27"/>
        <v>132070.65000000005</v>
      </c>
      <c r="M105" s="29">
        <f t="shared" si="27"/>
        <v>-16.37471816161446</v>
      </c>
      <c r="N105" s="29">
        <f t="shared" si="27"/>
        <v>0</v>
      </c>
      <c r="O105" s="29">
        <f t="shared" si="27"/>
        <v>0.34999999999126885</v>
      </c>
      <c r="P105" s="29">
        <f t="shared" si="27"/>
        <v>0.3499999999855845</v>
      </c>
      <c r="Q105" s="29"/>
      <c r="R105" s="29">
        <f t="shared" si="27"/>
        <v>109914</v>
      </c>
      <c r="S105" s="29"/>
      <c r="T105" s="29"/>
      <c r="U105" s="29">
        <f t="shared" si="27"/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8" ref="D113:F114">D114</f>
        <v>1222868.6900000002</v>
      </c>
      <c r="E113" s="244">
        <f t="shared" si="28"/>
        <v>550655.6</v>
      </c>
      <c r="F113" s="244">
        <f t="shared" si="28"/>
        <v>545829.08</v>
      </c>
      <c r="G113" s="244">
        <f aca="true" t="shared" si="29" ref="G113:G124">F113-E113</f>
        <v>-4826.520000000019</v>
      </c>
      <c r="H113" s="244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8"/>
        <v>1222868.6900000002</v>
      </c>
      <c r="E114" s="244">
        <f t="shared" si="28"/>
        <v>550655.6</v>
      </c>
      <c r="F114" s="244">
        <f t="shared" si="28"/>
        <v>545829.08</v>
      </c>
      <c r="G114" s="244">
        <f t="shared" si="29"/>
        <v>-4826.520000000019</v>
      </c>
      <c r="H114" s="244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9"/>
        <v>-4826.520000000019</v>
      </c>
      <c r="H115" s="244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9"/>
        <v>-3734.029999999999</v>
      </c>
      <c r="H116" s="244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9"/>
        <v>-707.6699999999837</v>
      </c>
      <c r="H117" s="244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9"/>
        <v>-16.159999999999997</v>
      </c>
      <c r="H118" s="244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9"/>
        <v>0</v>
      </c>
      <c r="H119" s="244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9"/>
        <v>0</v>
      </c>
      <c r="H120" s="244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9"/>
        <v>-460.1399999999999</v>
      </c>
      <c r="H121" s="244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9"/>
        <v>165.7</v>
      </c>
      <c r="H122" s="244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9"/>
        <v>-74.22000000000003</v>
      </c>
      <c r="H123" s="244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 t="shared" si="29"/>
        <v>-23049.190000000177</v>
      </c>
      <c r="H124" s="277">
        <f t="shared" si="31"/>
        <v>97.96326819055847</v>
      </c>
      <c r="I124" s="279">
        <f t="shared" si="30"/>
        <v>-1789797.9700000002</v>
      </c>
      <c r="J124" s="279">
        <f t="shared" si="32"/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0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6"/>
      <c r="T1" s="86"/>
      <c r="U1" s="87"/>
    </row>
    <row r="2" spans="2:21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191</v>
      </c>
      <c r="O3" s="331" t="s">
        <v>190</v>
      </c>
      <c r="P3" s="331"/>
      <c r="Q3" s="331"/>
      <c r="R3" s="331"/>
      <c r="S3" s="331"/>
      <c r="T3" s="331"/>
      <c r="U3" s="331"/>
    </row>
    <row r="4" spans="1:21" ht="22.5" customHeight="1">
      <c r="A4" s="322"/>
      <c r="B4" s="324"/>
      <c r="C4" s="325"/>
      <c r="D4" s="326"/>
      <c r="E4" s="332" t="s">
        <v>187</v>
      </c>
      <c r="F4" s="314" t="s">
        <v>33</v>
      </c>
      <c r="G4" s="305" t="s">
        <v>188</v>
      </c>
      <c r="H4" s="316" t="s">
        <v>189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197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192</v>
      </c>
      <c r="L5" s="309"/>
      <c r="M5" s="310"/>
      <c r="N5" s="317"/>
      <c r="O5" s="319"/>
      <c r="P5" s="306"/>
      <c r="Q5" s="307"/>
      <c r="R5" s="311" t="s">
        <v>193</v>
      </c>
      <c r="S5" s="312"/>
      <c r="T5" s="334" t="s">
        <v>194</v>
      </c>
      <c r="U5" s="33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 t="shared" si="0"/>
        <v>-1920.4199999999983</v>
      </c>
      <c r="H20" s="195">
        <f t="shared" si="3"/>
        <v>91.96476987447699</v>
      </c>
      <c r="I20" s="254">
        <f t="shared" si="4"/>
        <v>-54520.42</v>
      </c>
      <c r="J20" s="254">
        <f t="shared" si="5"/>
        <v>28.73147712418301</v>
      </c>
      <c r="K20" s="255">
        <v>26018.6</v>
      </c>
      <c r="L20" s="166">
        <f t="shared" si="1"/>
        <v>-4039.019999999997</v>
      </c>
      <c r="M20" s="256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54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 t="shared" si="0"/>
        <v>118.94000000000005</v>
      </c>
      <c r="H21" s="195"/>
      <c r="I21" s="254">
        <f t="shared" si="4"/>
        <v>-7581.0599999999995</v>
      </c>
      <c r="J21" s="254">
        <f t="shared" si="5"/>
        <v>29.14897196261682</v>
      </c>
      <c r="K21" s="255">
        <v>0</v>
      </c>
      <c r="L21" s="166">
        <f t="shared" si="1"/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54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 t="shared" si="0"/>
        <v>6.239999999999782</v>
      </c>
      <c r="H22" s="195"/>
      <c r="I22" s="254">
        <f t="shared" si="4"/>
        <v>-31793.760000000002</v>
      </c>
      <c r="J22" s="254">
        <f t="shared" si="5"/>
        <v>25.715514018691586</v>
      </c>
      <c r="K22" s="255">
        <v>0</v>
      </c>
      <c r="L22" s="166">
        <f t="shared" si="1"/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54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3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9" ref="G75:G87">F75-E75</f>
        <v>35.57</v>
      </c>
      <c r="H75" s="186"/>
      <c r="I75" s="187">
        <f aca="true" t="shared" si="20" ref="I75:I87">F75-D75</f>
        <v>35.57</v>
      </c>
      <c r="J75" s="187"/>
      <c r="K75" s="187">
        <v>0</v>
      </c>
      <c r="L75" s="187">
        <f aca="true" t="shared" si="21" ref="L75:L86">F75-K75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 aca="true" t="shared" si="22" ref="P75:P89">O75-N75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t="shared" si="19"/>
        <v>0.12</v>
      </c>
      <c r="H76" s="164"/>
      <c r="I76" s="167">
        <f t="shared" si="20"/>
        <v>-104205.91</v>
      </c>
      <c r="J76" s="167">
        <f>F76/D76*100</f>
        <v>0.00011515648374666994</v>
      </c>
      <c r="K76" s="167">
        <v>300.88</v>
      </c>
      <c r="L76" s="167">
        <f t="shared" si="21"/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t="shared" si="22"/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 t="shared" si="19"/>
        <v>0</v>
      </c>
      <c r="H87" s="164"/>
      <c r="I87" s="167">
        <f t="shared" si="20"/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 t="shared" si="23"/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 aca="true" t="shared" si="27" ref="D113:F114">D114</f>
        <v>1222868.6900000002</v>
      </c>
      <c r="E113" s="244">
        <f t="shared" si="27"/>
        <v>550655.6</v>
      </c>
      <c r="F113" s="244">
        <f t="shared" si="27"/>
        <v>545829.08</v>
      </c>
      <c r="G113" s="244">
        <f aca="true" t="shared" si="28" ref="G113:G124">F113-E113</f>
        <v>-4826.520000000019</v>
      </c>
      <c r="H113" s="244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 t="shared" si="27"/>
        <v>1222868.6900000002</v>
      </c>
      <c r="E114" s="244">
        <f t="shared" si="27"/>
        <v>550655.6</v>
      </c>
      <c r="F114" s="244">
        <f t="shared" si="27"/>
        <v>545829.08</v>
      </c>
      <c r="G114" s="244">
        <f t="shared" si="28"/>
        <v>-4826.520000000019</v>
      </c>
      <c r="H114" s="244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8"/>
        <v>-4826.520000000019</v>
      </c>
      <c r="H115" s="244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8"/>
        <v>-3734.029999999999</v>
      </c>
      <c r="H116" s="244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8"/>
        <v>-707.6699999999837</v>
      </c>
      <c r="H117" s="244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8"/>
        <v>-16.159999999999997</v>
      </c>
      <c r="H118" s="244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8"/>
        <v>0</v>
      </c>
      <c r="H119" s="244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8"/>
        <v>0</v>
      </c>
      <c r="H120" s="244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8"/>
        <v>-460.1399999999999</v>
      </c>
      <c r="H121" s="244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8"/>
        <v>165.7</v>
      </c>
      <c r="H122" s="244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8"/>
        <v>-74.22000000000003</v>
      </c>
      <c r="H123" s="244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 t="shared" si="28"/>
        <v>-15231.915999999968</v>
      </c>
      <c r="H124" s="277">
        <f t="shared" si="30"/>
        <v>98.48512590709952</v>
      </c>
      <c r="I124" s="279">
        <f t="shared" si="29"/>
        <v>-1908165.3960000002</v>
      </c>
      <c r="J124" s="279">
        <f t="shared" si="31"/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0" t="s">
        <v>185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  <c r="T1" s="246"/>
      <c r="U1" s="249"/>
      <c r="V1" s="259"/>
      <c r="W1" s="259"/>
    </row>
    <row r="2" spans="2:23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163</v>
      </c>
      <c r="O3" s="331" t="s">
        <v>164</v>
      </c>
      <c r="P3" s="331"/>
      <c r="Q3" s="331"/>
      <c r="R3" s="331"/>
      <c r="S3" s="33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2"/>
      <c r="B4" s="324"/>
      <c r="C4" s="325"/>
      <c r="D4" s="326"/>
      <c r="E4" s="332" t="s">
        <v>153</v>
      </c>
      <c r="F4" s="314" t="s">
        <v>33</v>
      </c>
      <c r="G4" s="305" t="s">
        <v>162</v>
      </c>
      <c r="H4" s="316" t="s">
        <v>176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186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169</v>
      </c>
      <c r="L5" s="309"/>
      <c r="M5" s="310"/>
      <c r="N5" s="317"/>
      <c r="O5" s="319"/>
      <c r="P5" s="306"/>
      <c r="Q5" s="307"/>
      <c r="R5" s="308" t="s">
        <v>102</v>
      </c>
      <c r="S5" s="31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47">
        <f aca="true" t="shared" si="8" ref="U10:U42">O10-T10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47">
        <f t="shared" si="8"/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47">
        <f t="shared" si="8"/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47">
        <f t="shared" si="8"/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47"/>
      <c r="U14" s="247">
        <f t="shared" si="8"/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47">
        <f t="shared" si="8"/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47">
        <f t="shared" si="8"/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47">
        <f t="shared" si="8"/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 t="shared" si="0"/>
        <v>-10065.939999999999</v>
      </c>
      <c r="H20" s="195">
        <f t="shared" si="3"/>
        <v>63.79158273381296</v>
      </c>
      <c r="I20" s="254">
        <f t="shared" si="4"/>
        <v>-112265.94</v>
      </c>
      <c r="J20" s="254">
        <f t="shared" si="5"/>
        <v>13.641584615384616</v>
      </c>
      <c r="K20" s="255">
        <v>18270.89</v>
      </c>
      <c r="L20" s="166">
        <f t="shared" si="1"/>
        <v>-536.8299999999981</v>
      </c>
      <c r="M20" s="256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54">
        <f t="shared" si="7"/>
        <v>41.10357142857144</v>
      </c>
      <c r="R20" s="107"/>
      <c r="S20" s="108"/>
      <c r="T20" s="257">
        <v>4250</v>
      </c>
      <c r="U20" s="258">
        <f t="shared" si="8"/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 t="shared" si="0"/>
        <v>2236.79</v>
      </c>
      <c r="H21" s="195"/>
      <c r="I21" s="254">
        <f t="shared" si="4"/>
        <v>2236.79</v>
      </c>
      <c r="J21" s="254"/>
      <c r="K21" s="255">
        <v>0</v>
      </c>
      <c r="L21" s="166">
        <f t="shared" si="1"/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 t="shared" si="0"/>
        <v>7663.01</v>
      </c>
      <c r="H22" s="195"/>
      <c r="I22" s="254">
        <f t="shared" si="4"/>
        <v>7663.01</v>
      </c>
      <c r="J22" s="254"/>
      <c r="K22" s="255">
        <v>0</v>
      </c>
      <c r="L22" s="166">
        <f t="shared" si="1"/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47">
        <f t="shared" si="8"/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47">
        <f t="shared" si="8"/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47">
        <f t="shared" si="8"/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47">
        <f t="shared" si="8"/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 t="shared" si="8"/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47">
        <f t="shared" si="8"/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47">
        <f t="shared" si="8"/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 t="shared" si="8"/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47">
        <f t="shared" si="8"/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47">
        <f t="shared" si="8"/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47">
        <f t="shared" si="8"/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47">
        <f t="shared" si="8"/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47">
        <f t="shared" si="8"/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47">
        <f t="shared" si="8"/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18" ref="G75:G87">F75-E75</f>
        <v>35.57</v>
      </c>
      <c r="H75" s="186"/>
      <c r="I75" s="187">
        <f aca="true" t="shared" si="19" ref="I75:I87">F75-D75</f>
        <v>35.57</v>
      </c>
      <c r="J75" s="187"/>
      <c r="K75" s="187">
        <v>0</v>
      </c>
      <c r="L75" s="187">
        <f aca="true" t="shared" si="20" ref="L75:L87">F75-K75</f>
        <v>35.57</v>
      </c>
      <c r="M75" s="187"/>
      <c r="N75" s="186">
        <f>E75-лютий!E72</f>
        <v>0</v>
      </c>
      <c r="O75" s="289">
        <f>F75-лютий!F72</f>
        <v>8.91</v>
      </c>
      <c r="P75" s="187">
        <f aca="true" t="shared" si="21" ref="P75:P89">O75-N75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t="shared" si="18"/>
        <v>0.11</v>
      </c>
      <c r="H76" s="164"/>
      <c r="I76" s="167">
        <f t="shared" si="19"/>
        <v>-104205.92</v>
      </c>
      <c r="J76" s="167">
        <f>F76/D76*100</f>
        <v>0.00010556011010111412</v>
      </c>
      <c r="K76" s="167">
        <v>0.15</v>
      </c>
      <c r="L76" s="167">
        <f t="shared" si="20"/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t="shared" si="21"/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 t="shared" si="18"/>
        <v>0</v>
      </c>
      <c r="H87" s="164"/>
      <c r="I87" s="167">
        <f t="shared" si="19"/>
        <v>0</v>
      </c>
      <c r="J87" s="167"/>
      <c r="K87" s="167">
        <v>0</v>
      </c>
      <c r="L87" s="167">
        <f t="shared" si="20"/>
        <v>0</v>
      </c>
      <c r="M87" s="167"/>
      <c r="N87" s="164">
        <f>E87-лютий!E84</f>
        <v>0</v>
      </c>
      <c r="O87" s="168">
        <f>F87-лютий!F84</f>
        <v>0</v>
      </c>
      <c r="P87" s="167">
        <f t="shared" si="21"/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 t="shared" si="22"/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3"/>
      <c r="H92" s="313"/>
      <c r="I92" s="313"/>
      <c r="J92" s="31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 aca="true" t="shared" si="26" ref="D113:F114">D114</f>
        <v>1222868.6900000002</v>
      </c>
      <c r="E113" s="244">
        <f t="shared" si="26"/>
        <v>550655.6</v>
      </c>
      <c r="F113" s="244">
        <f t="shared" si="26"/>
        <v>545829.08</v>
      </c>
      <c r="G113" s="244">
        <f aca="true" t="shared" si="27" ref="G113:G124">F113-E113</f>
        <v>-4826.520000000019</v>
      </c>
      <c r="H113" s="244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 t="shared" si="26"/>
        <v>1222868.6900000002</v>
      </c>
      <c r="E114" s="244">
        <f t="shared" si="26"/>
        <v>550655.6</v>
      </c>
      <c r="F114" s="244">
        <f t="shared" si="26"/>
        <v>545829.08</v>
      </c>
      <c r="G114" s="244">
        <f t="shared" si="27"/>
        <v>-4826.520000000019</v>
      </c>
      <c r="H114" s="244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 t="shared" si="27"/>
        <v>-4826.520000000019</v>
      </c>
      <c r="H115" s="244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 t="shared" si="27"/>
        <v>-3734.029999999999</v>
      </c>
      <c r="H116" s="244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 t="shared" si="27"/>
        <v>-707.6699999999837</v>
      </c>
      <c r="H117" s="244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 t="shared" si="27"/>
        <v>-16.159999999999997</v>
      </c>
      <c r="H118" s="244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 t="shared" si="27"/>
        <v>0</v>
      </c>
      <c r="H119" s="244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 t="shared" si="27"/>
        <v>0</v>
      </c>
      <c r="H120" s="244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 t="shared" si="27"/>
        <v>-460.1399999999999</v>
      </c>
      <c r="H121" s="244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 t="shared" si="27"/>
        <v>165.7</v>
      </c>
      <c r="H122" s="244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 t="shared" si="27"/>
        <v>-74.22000000000003</v>
      </c>
      <c r="H123" s="244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 t="shared" si="27"/>
        <v>-10300.850000000093</v>
      </c>
      <c r="H124" s="277">
        <f t="shared" si="29"/>
        <v>98.83929802661113</v>
      </c>
      <c r="I124" s="279">
        <f t="shared" si="28"/>
        <v>-2021257.6300000001</v>
      </c>
      <c r="J124" s="279">
        <f t="shared" si="30"/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150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144</v>
      </c>
      <c r="O3" s="331" t="s">
        <v>148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149</v>
      </c>
      <c r="F4" s="314" t="s">
        <v>33</v>
      </c>
      <c r="G4" s="305" t="s">
        <v>145</v>
      </c>
      <c r="H4" s="316" t="s">
        <v>146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152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147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 aca="true" t="shared" si="19" ref="G72:G84">F72-E72</f>
        <v>26.66</v>
      </c>
      <c r="H72" s="186"/>
      <c r="I72" s="187">
        <f aca="true" t="shared" si="20" ref="I72:I84">F72-D72</f>
        <v>26.66</v>
      </c>
      <c r="J72" s="187"/>
      <c r="K72" s="187">
        <v>0</v>
      </c>
      <c r="L72" s="187">
        <f aca="true" t="shared" si="21" ref="L72:L84">F72-K72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 aca="true" t="shared" si="22" ref="P72:P86">O72-N72</f>
        <v>14.85</v>
      </c>
      <c r="Q72" s="18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t="shared" si="19"/>
        <v>0.07</v>
      </c>
      <c r="H73" s="164"/>
      <c r="I73" s="167">
        <f t="shared" si="20"/>
        <v>-104205.95999999999</v>
      </c>
      <c r="J73" s="167">
        <f>F73/D73*100</f>
        <v>6.71746155188908E-05</v>
      </c>
      <c r="K73" s="167">
        <v>0.1</v>
      </c>
      <c r="L73" s="167">
        <f t="shared" si="21"/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t="shared" si="22"/>
        <v>0.030000000000000006</v>
      </c>
      <c r="Q73" s="167"/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N71+N72+N77+N82+N83</f>
        <v>3376</v>
      </c>
      <c r="O85" s="191">
        <f>O71+O72+O77+O82+O83</f>
        <v>3289.629999999999</v>
      </c>
      <c r="P85" s="194">
        <f t="shared" si="22"/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134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123</v>
      </c>
      <c r="O3" s="331" t="s">
        <v>118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135</v>
      </c>
      <c r="F4" s="314" t="s">
        <v>33</v>
      </c>
      <c r="G4" s="305" t="s">
        <v>136</v>
      </c>
      <c r="H4" s="316" t="s">
        <v>137</v>
      </c>
      <c r="I4" s="305" t="s">
        <v>138</v>
      </c>
      <c r="J4" s="316" t="s">
        <v>139</v>
      </c>
      <c r="K4" s="85" t="s">
        <v>141</v>
      </c>
      <c r="L4" s="204" t="s">
        <v>113</v>
      </c>
      <c r="M4" s="90" t="s">
        <v>63</v>
      </c>
      <c r="N4" s="316"/>
      <c r="O4" s="318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142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 aca="true" t="shared" si="19" ref="G72:G84">F72-E72</f>
        <v>11.81</v>
      </c>
      <c r="H72" s="186"/>
      <c r="I72" s="187">
        <f aca="true" t="shared" si="20" ref="I72:I84">F72-D72</f>
        <v>11.81</v>
      </c>
      <c r="J72" s="187"/>
      <c r="K72" s="187">
        <v>0</v>
      </c>
      <c r="L72" s="187">
        <f aca="true" t="shared" si="21" ref="L72:L84">F72-K72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t="shared" si="19"/>
        <v>0.04</v>
      </c>
      <c r="H73" s="164"/>
      <c r="I73" s="167">
        <f t="shared" si="20"/>
        <v>-3999.96</v>
      </c>
      <c r="J73" s="167">
        <f>F73/D73*100</f>
        <v>0.001</v>
      </c>
      <c r="K73" s="167">
        <v>0.06</v>
      </c>
      <c r="L73" s="167">
        <f t="shared" si="21"/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 t="shared" si="19"/>
        <v>0</v>
      </c>
      <c r="H84" s="164"/>
      <c r="I84" s="167">
        <f t="shared" si="20"/>
        <v>0</v>
      </c>
      <c r="J84" s="167"/>
      <c r="K84" s="167">
        <v>0</v>
      </c>
      <c r="L84" s="167">
        <f t="shared" si="21"/>
        <v>0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J6" sqref="J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0" t="s">
        <v>132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6"/>
      <c r="S1" s="87"/>
    </row>
    <row r="2" spans="2:19" s="1" customFormat="1" ht="15.75" customHeight="1">
      <c r="B2" s="321"/>
      <c r="C2" s="321"/>
      <c r="D2" s="32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2"/>
      <c r="B3" s="324"/>
      <c r="C3" s="325" t="s">
        <v>0</v>
      </c>
      <c r="D3" s="326" t="s">
        <v>126</v>
      </c>
      <c r="E3" s="32"/>
      <c r="F3" s="327" t="s">
        <v>26</v>
      </c>
      <c r="G3" s="328"/>
      <c r="H3" s="328"/>
      <c r="I3" s="328"/>
      <c r="J3" s="329"/>
      <c r="K3" s="83"/>
      <c r="L3" s="83"/>
      <c r="M3" s="83"/>
      <c r="N3" s="330" t="s">
        <v>129</v>
      </c>
      <c r="O3" s="331" t="s">
        <v>125</v>
      </c>
      <c r="P3" s="331"/>
      <c r="Q3" s="331"/>
      <c r="R3" s="331"/>
      <c r="S3" s="331"/>
    </row>
    <row r="4" spans="1:19" ht="22.5" customHeight="1">
      <c r="A4" s="322"/>
      <c r="B4" s="324"/>
      <c r="C4" s="325"/>
      <c r="D4" s="326"/>
      <c r="E4" s="332" t="s">
        <v>127</v>
      </c>
      <c r="F4" s="314" t="s">
        <v>33</v>
      </c>
      <c r="G4" s="305" t="s">
        <v>128</v>
      </c>
      <c r="H4" s="316" t="s">
        <v>122</v>
      </c>
      <c r="I4" s="305" t="s">
        <v>103</v>
      </c>
      <c r="J4" s="316" t="s">
        <v>104</v>
      </c>
      <c r="K4" s="85" t="s">
        <v>114</v>
      </c>
      <c r="L4" s="204" t="s">
        <v>113</v>
      </c>
      <c r="M4" s="90" t="s">
        <v>63</v>
      </c>
      <c r="N4" s="316"/>
      <c r="O4" s="318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3"/>
      <c r="B5" s="324"/>
      <c r="C5" s="325"/>
      <c r="D5" s="326"/>
      <c r="E5" s="333"/>
      <c r="F5" s="315"/>
      <c r="G5" s="306"/>
      <c r="H5" s="317"/>
      <c r="I5" s="306"/>
      <c r="J5" s="317"/>
      <c r="K5" s="308" t="s">
        <v>130</v>
      </c>
      <c r="L5" s="309"/>
      <c r="M5" s="310"/>
      <c r="N5" s="317"/>
      <c r="O5" s="319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3"/>
      <c r="H89" s="313"/>
      <c r="I89" s="313"/>
      <c r="J89" s="313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0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2017-07-13T07:12:55Z</cp:lastPrinted>
  <dcterms:created xsi:type="dcterms:W3CDTF">2003-07-28T11:27:56Z</dcterms:created>
  <dcterms:modified xsi:type="dcterms:W3CDTF">2017-07-14T08:25:36Z</dcterms:modified>
  <cp:category/>
  <cp:version/>
  <cp:contentType/>
  <cp:contentStatus/>
</cp:coreProperties>
</file>